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0640" windowHeight="4710" activeTab="1"/>
  </bookViews>
  <sheets>
    <sheet name="ORÇAMENTO - CASA DE FORÇA" sheetId="1" r:id="rId1"/>
    <sheet name="Composição" sheetId="12" r:id="rId2"/>
    <sheet name="COMPOSIÇÕES DE CUSTO UNITÁRIO" sheetId="9" state="hidden" r:id="rId3"/>
    <sheet name="CRON. FÍS REPROGRAMAÇÃO" sheetId="19" r:id="rId4"/>
  </sheets>
  <externalReferences>
    <externalReference r:id="rId5"/>
    <externalReference r:id="rId6"/>
    <externalReference r:id="rId7"/>
  </externalReferences>
  <definedNames>
    <definedName name="a" localSheetId="3">[1]INSUMOS!#REF!</definedName>
    <definedName name="a">[1]INSUMOS!#REF!</definedName>
    <definedName name="_xlnm.Print_Area" localSheetId="1">Composição!$A$1:$F$461</definedName>
    <definedName name="_xlnm.Print_Area" localSheetId="3">'CRON. FÍS REPROGRAMAÇÃO'!$A$1:$AB$88</definedName>
    <definedName name="_xlnm.Print_Area" localSheetId="0">'ORÇAMENTO - CASA DE FORÇA'!$A$1:$H$188</definedName>
    <definedName name="Aterro_arenoso">[2]Preços!$C$15</definedName>
    <definedName name="Carrinho_de_mão">[2]Preços!$C$291</definedName>
    <definedName name="Compactador_de_placa_vibratória">[2]Preços!$C$286</definedName>
    <definedName name="Encarregado">[2]Preços!$C$277</definedName>
    <definedName name="LADRILHISTA" localSheetId="3">[1]INSUMOS!#REF!</definedName>
    <definedName name="LADRILHISTA">[1]INSUMOS!#REF!</definedName>
    <definedName name="MAO_DE_OBRA_PARA_COLOCACAO_DE_VIDRO_COM_MASSA" localSheetId="3">[1]INSUMOS!#REF!</definedName>
    <definedName name="MAO_DE_OBRA_PARA_COLOCACAO_DE_VIDRO_COM_MASSA">[1]INSUMOS!#REF!</definedName>
    <definedName name="Oficial">[2]Preços!$C$278</definedName>
    <definedName name="_xlnm.Print_Titles" localSheetId="1">Composição!$1:$22</definedName>
    <definedName name="_xlnm.Print_Titles" localSheetId="0">'ORÇAMENTO - CASA DE FORÇA'!$1:$18</definedName>
  </definedNames>
  <calcPr calcId="125725" fullPrecision="0"/>
</workbook>
</file>

<file path=xl/calcChain.xml><?xml version="1.0" encoding="utf-8"?>
<calcChain xmlns="http://schemas.openxmlformats.org/spreadsheetml/2006/main">
  <c r="F174" i="1"/>
  <c r="F173"/>
  <c r="G173" s="1"/>
  <c r="H173" s="1"/>
  <c r="A442" i="12"/>
  <c r="B442"/>
  <c r="F444"/>
  <c r="F445" s="1"/>
  <c r="F446" s="1"/>
  <c r="F447" s="1"/>
  <c r="D433"/>
  <c r="F433" s="1"/>
  <c r="D432"/>
  <c r="F432" s="1"/>
  <c r="A430"/>
  <c r="B430"/>
  <c r="F437"/>
  <c r="F438" s="1"/>
  <c r="D421"/>
  <c r="F421" s="1"/>
  <c r="D420"/>
  <c r="F420" s="1"/>
  <c r="A418"/>
  <c r="B418"/>
  <c r="F425"/>
  <c r="F426" s="1"/>
  <c r="D397"/>
  <c r="F397" s="1"/>
  <c r="D396"/>
  <c r="F396" s="1"/>
  <c r="D409"/>
  <c r="F409" s="1"/>
  <c r="D408"/>
  <c r="F408" s="1"/>
  <c r="A406"/>
  <c r="B406"/>
  <c r="F413"/>
  <c r="F414" s="1"/>
  <c r="B370"/>
  <c r="A394"/>
  <c r="B394"/>
  <c r="F401"/>
  <c r="F402" s="1"/>
  <c r="D385"/>
  <c r="F385" s="1"/>
  <c r="D384"/>
  <c r="F384" s="1"/>
  <c r="A382"/>
  <c r="B382"/>
  <c r="F389"/>
  <c r="F390" s="1"/>
  <c r="A370"/>
  <c r="F448" l="1"/>
  <c r="F434"/>
  <c r="F435" s="1"/>
  <c r="F439" s="1"/>
  <c r="F440" s="1"/>
  <c r="F422"/>
  <c r="F423" s="1"/>
  <c r="F427" s="1"/>
  <c r="F428" s="1"/>
  <c r="F172" i="1" s="1"/>
  <c r="G172" s="1"/>
  <c r="H172" s="1"/>
  <c r="F410" i="12"/>
  <c r="F411" s="1"/>
  <c r="F415" s="1"/>
  <c r="F416" s="1"/>
  <c r="F171" i="1" s="1"/>
  <c r="G171" s="1"/>
  <c r="H171" s="1"/>
  <c r="F398" i="12"/>
  <c r="F399" s="1"/>
  <c r="F403" s="1"/>
  <c r="F404" s="1"/>
  <c r="F170" i="1" s="1"/>
  <c r="G170" s="1"/>
  <c r="H170" s="1"/>
  <c r="F386" i="12"/>
  <c r="F387" s="1"/>
  <c r="F391" s="1"/>
  <c r="F392" s="1"/>
  <c r="F169" i="1" s="1"/>
  <c r="G169" s="1"/>
  <c r="H169" s="1"/>
  <c r="B74" i="19" l="1"/>
  <c r="B65"/>
  <c r="B68"/>
  <c r="B71"/>
  <c r="B62" l="1"/>
  <c r="B59"/>
  <c r="B56"/>
  <c r="B53"/>
  <c r="B50"/>
  <c r="B47"/>
  <c r="B44"/>
  <c r="B41"/>
  <c r="B38"/>
  <c r="B35"/>
  <c r="B32"/>
  <c r="B29"/>
  <c r="B26"/>
  <c r="B23"/>
  <c r="E134" i="1"/>
  <c r="F99" i="12"/>
  <c r="G264"/>
  <c r="B117"/>
  <c r="A104"/>
  <c r="A77"/>
  <c r="A89"/>
  <c r="F377"/>
  <c r="F378" s="1"/>
  <c r="F373"/>
  <c r="F372"/>
  <c r="A358"/>
  <c r="B358"/>
  <c r="F365"/>
  <c r="F366" s="1"/>
  <c r="F361"/>
  <c r="F360"/>
  <c r="A346"/>
  <c r="B346"/>
  <c r="F353"/>
  <c r="F354" s="1"/>
  <c r="F349"/>
  <c r="F348"/>
  <c r="A334"/>
  <c r="B334"/>
  <c r="F341"/>
  <c r="F342" s="1"/>
  <c r="F337"/>
  <c r="F336"/>
  <c r="A322"/>
  <c r="B322"/>
  <c r="F329"/>
  <c r="F330" s="1"/>
  <c r="F325"/>
  <c r="F324"/>
  <c r="B310"/>
  <c r="A310"/>
  <c r="F317"/>
  <c r="F318" s="1"/>
  <c r="F313"/>
  <c r="F312"/>
  <c r="A298"/>
  <c r="F305"/>
  <c r="F306" s="1"/>
  <c r="F301"/>
  <c r="F300"/>
  <c r="D289"/>
  <c r="F289" s="1"/>
  <c r="A286"/>
  <c r="B286"/>
  <c r="F293"/>
  <c r="F294" s="1"/>
  <c r="F288"/>
  <c r="A274"/>
  <c r="B274"/>
  <c r="F281"/>
  <c r="F282" s="1"/>
  <c r="F277"/>
  <c r="F276"/>
  <c r="A262"/>
  <c r="B262"/>
  <c r="F269"/>
  <c r="F270" s="1"/>
  <c r="F265"/>
  <c r="F264"/>
  <c r="B250"/>
  <c r="A250"/>
  <c r="A238"/>
  <c r="F257"/>
  <c r="F258" s="1"/>
  <c r="F253"/>
  <c r="F252"/>
  <c r="D241"/>
  <c r="F241" s="1"/>
  <c r="D229"/>
  <c r="F229" s="1"/>
  <c r="G229"/>
  <c r="B238"/>
  <c r="F245"/>
  <c r="F246" s="1"/>
  <c r="F240"/>
  <c r="F228"/>
  <c r="A226"/>
  <c r="B226"/>
  <c r="F338" l="1"/>
  <c r="F339" s="1"/>
  <c r="F343" s="1"/>
  <c r="F362"/>
  <c r="F363" s="1"/>
  <c r="F367" s="1"/>
  <c r="F326"/>
  <c r="F327" s="1"/>
  <c r="F331" s="1"/>
  <c r="F332" s="1"/>
  <c r="F164" i="1" s="1"/>
  <c r="G164" s="1"/>
  <c r="H164" s="1"/>
  <c r="F314" i="12"/>
  <c r="F315" s="1"/>
  <c r="F319" s="1"/>
  <c r="F320" s="1"/>
  <c r="F163" i="1" s="1"/>
  <c r="G163" s="1"/>
  <c r="H163" s="1"/>
  <c r="F350" i="12"/>
  <c r="F351" s="1"/>
  <c r="F355" s="1"/>
  <c r="F266"/>
  <c r="F267" s="1"/>
  <c r="F271" s="1"/>
  <c r="F272" s="1"/>
  <c r="F159" i="1" s="1"/>
  <c r="G159" s="1"/>
  <c r="H159" s="1"/>
  <c r="F278" i="12"/>
  <c r="F279" s="1"/>
  <c r="F283" s="1"/>
  <c r="F284" s="1"/>
  <c r="F160" i="1" s="1"/>
  <c r="G160" s="1"/>
  <c r="H160" s="1"/>
  <c r="F374" i="12"/>
  <c r="F375" s="1"/>
  <c r="F379" s="1"/>
  <c r="F380" s="1"/>
  <c r="F302"/>
  <c r="F303" s="1"/>
  <c r="F307" s="1"/>
  <c r="F308" s="1"/>
  <c r="F162" i="1" s="1"/>
  <c r="G162" s="1"/>
  <c r="H162" s="1"/>
  <c r="F290" i="12"/>
  <c r="F291" s="1"/>
  <c r="F295" s="1"/>
  <c r="F296" s="1"/>
  <c r="F161" i="1" s="1"/>
  <c r="G161" s="1"/>
  <c r="H161" s="1"/>
  <c r="F254" i="12"/>
  <c r="F255" s="1"/>
  <c r="F259" s="1"/>
  <c r="F260" s="1"/>
  <c r="F158" i="1" s="1"/>
  <c r="G158" s="1"/>
  <c r="H158" s="1"/>
  <c r="F242" i="12"/>
  <c r="F243" s="1"/>
  <c r="F247" s="1"/>
  <c r="F248" s="1"/>
  <c r="F157" i="1" s="1"/>
  <c r="G157" s="1"/>
  <c r="H157" s="1"/>
  <c r="G174" l="1"/>
  <c r="H174" s="1"/>
  <c r="F168"/>
  <c r="G168" s="1"/>
  <c r="H168" s="1"/>
  <c r="F368" i="12"/>
  <c r="F167" i="1"/>
  <c r="G167" s="1"/>
  <c r="H167" s="1"/>
  <c r="F166"/>
  <c r="G166" s="1"/>
  <c r="H166" s="1"/>
  <c r="F356" i="12"/>
  <c r="F344"/>
  <c r="F165" i="1"/>
  <c r="G165" s="1"/>
  <c r="H165" s="1"/>
  <c r="F84" i="12" l="1"/>
  <c r="B89"/>
  <c r="B77"/>
  <c r="F80"/>
  <c r="F79"/>
  <c r="A64"/>
  <c r="B64"/>
  <c r="F72"/>
  <c r="F71"/>
  <c r="F67"/>
  <c r="F66"/>
  <c r="G78" i="1"/>
  <c r="H78" s="1"/>
  <c r="E70"/>
  <c r="G77"/>
  <c r="H77" s="1"/>
  <c r="D182" i="12"/>
  <c r="D183" s="1"/>
  <c r="F183" s="1"/>
  <c r="D181"/>
  <c r="F181" s="1"/>
  <c r="A179"/>
  <c r="B179"/>
  <c r="E140" i="1"/>
  <c r="G140"/>
  <c r="B104" i="12"/>
  <c r="F98"/>
  <c r="D97"/>
  <c r="F97" s="1"/>
  <c r="F93"/>
  <c r="D92"/>
  <c r="F92" s="1"/>
  <c r="F91"/>
  <c r="G90" i="1"/>
  <c r="H90" s="1"/>
  <c r="G89"/>
  <c r="H89" s="1"/>
  <c r="G88"/>
  <c r="H88" s="1"/>
  <c r="G86"/>
  <c r="H86" s="1"/>
  <c r="G85"/>
  <c r="H85" s="1"/>
  <c r="G87"/>
  <c r="H87" s="1"/>
  <c r="G69" i="12"/>
  <c r="E107" i="1"/>
  <c r="E133"/>
  <c r="G133"/>
  <c r="E23"/>
  <c r="F100" i="12" l="1"/>
  <c r="F182"/>
  <c r="F184" s="1"/>
  <c r="F185" s="1"/>
  <c r="F139" i="1" s="1"/>
  <c r="F85" i="12"/>
  <c r="F81"/>
  <c r="F82" s="1"/>
  <c r="F73"/>
  <c r="F68"/>
  <c r="F69" s="1"/>
  <c r="F94"/>
  <c r="F95" s="1"/>
  <c r="H140" i="1"/>
  <c r="H133"/>
  <c r="E141"/>
  <c r="A146" i="12"/>
  <c r="B146"/>
  <c r="E102" i="1"/>
  <c r="E97"/>
  <c r="E96"/>
  <c r="F58" i="12"/>
  <c r="A51"/>
  <c r="A39"/>
  <c r="B51"/>
  <c r="F59"/>
  <c r="F54"/>
  <c r="F53"/>
  <c r="B39"/>
  <c r="G75" i="1"/>
  <c r="H75" s="1"/>
  <c r="G62"/>
  <c r="H62" s="1"/>
  <c r="G60"/>
  <c r="H60" s="1"/>
  <c r="G51"/>
  <c r="H51" s="1"/>
  <c r="G50"/>
  <c r="H50" s="1"/>
  <c r="G49"/>
  <c r="H49" s="1"/>
  <c r="G48"/>
  <c r="H48" s="1"/>
  <c r="G64"/>
  <c r="H64" s="1"/>
  <c r="E135"/>
  <c r="E110"/>
  <c r="E121"/>
  <c r="E122" s="1"/>
  <c r="F86" i="12" l="1"/>
  <c r="F87" s="1"/>
  <c r="F74"/>
  <c r="F75" s="1"/>
  <c r="F79" i="1" s="1"/>
  <c r="G79" s="1"/>
  <c r="H79" s="1"/>
  <c r="J79" s="1"/>
  <c r="F101" i="12"/>
  <c r="F81" i="1" s="1"/>
  <c r="F60" i="12"/>
  <c r="F55"/>
  <c r="F56" s="1"/>
  <c r="F80" i="1" l="1"/>
  <c r="G80" s="1"/>
  <c r="H80" s="1"/>
  <c r="F61" i="12"/>
  <c r="F62" s="1"/>
  <c r="F74" i="1" s="1"/>
  <c r="G74" s="1"/>
  <c r="H74" s="1"/>
  <c r="E42" l="1"/>
  <c r="E45" s="1"/>
  <c r="E39"/>
  <c r="E132"/>
  <c r="E38"/>
  <c r="F168" i="12"/>
  <c r="F169"/>
  <c r="D173"/>
  <c r="H162"/>
  <c r="H161"/>
  <c r="G162"/>
  <c r="G161"/>
  <c r="A160"/>
  <c r="D167"/>
  <c r="B160"/>
  <c r="E115" i="1"/>
  <c r="E116"/>
  <c r="G110" l="1"/>
  <c r="H110" s="1"/>
  <c r="E117"/>
  <c r="G117"/>
  <c r="E114"/>
  <c r="E109"/>
  <c r="E108"/>
  <c r="G108"/>
  <c r="E129"/>
  <c r="I131"/>
  <c r="J131" s="1"/>
  <c r="E130"/>
  <c r="E128" l="1"/>
  <c r="E103" s="1"/>
  <c r="H117"/>
  <c r="H108"/>
  <c r="E104" l="1"/>
  <c r="G22" l="1"/>
  <c r="E22"/>
  <c r="G97"/>
  <c r="H97" s="1"/>
  <c r="G96"/>
  <c r="H96" s="1"/>
  <c r="G31"/>
  <c r="H31" s="1"/>
  <c r="G30"/>
  <c r="H30" s="1"/>
  <c r="G134"/>
  <c r="H134" s="1"/>
  <c r="G135"/>
  <c r="H135" s="1"/>
  <c r="G130"/>
  <c r="H130" s="1"/>
  <c r="E125"/>
  <c r="J125"/>
  <c r="G116"/>
  <c r="H116" s="1"/>
  <c r="G115"/>
  <c r="H115" s="1"/>
  <c r="G111"/>
  <c r="H111" s="1"/>
  <c r="G66"/>
  <c r="H66" s="1"/>
  <c r="H22" l="1"/>
  <c r="G45"/>
  <c r="H45" s="1"/>
  <c r="G44"/>
  <c r="H44" s="1"/>
  <c r="A11" i="19" l="1"/>
  <c r="I132" i="1"/>
  <c r="I109" l="1"/>
  <c r="D193" i="12"/>
  <c r="F193" s="1"/>
  <c r="D190"/>
  <c r="F190" s="1"/>
  <c r="D189"/>
  <c r="F189" s="1"/>
  <c r="A198"/>
  <c r="A187"/>
  <c r="F191"/>
  <c r="F192" l="1"/>
  <c r="F194" s="1"/>
  <c r="F195" l="1"/>
  <c r="F141" i="1" s="1"/>
  <c r="G141" s="1"/>
  <c r="H141" s="1"/>
  <c r="G125" l="1"/>
  <c r="H125" s="1"/>
  <c r="F173" i="12"/>
  <c r="F172"/>
  <c r="F167"/>
  <c r="F171"/>
  <c r="F170"/>
  <c r="F163"/>
  <c r="F162"/>
  <c r="F164" l="1"/>
  <c r="F165" s="1"/>
  <c r="F174"/>
  <c r="G76" i="1"/>
  <c r="H76" s="1"/>
  <c r="F233" i="12"/>
  <c r="A214"/>
  <c r="F208"/>
  <c r="F207"/>
  <c r="F206"/>
  <c r="F205"/>
  <c r="F204"/>
  <c r="F200"/>
  <c r="F201" s="1"/>
  <c r="F202" s="1"/>
  <c r="F175" l="1"/>
  <c r="F176" s="1"/>
  <c r="F118" i="1" s="1"/>
  <c r="F230" i="12"/>
  <c r="F231" s="1"/>
  <c r="F234"/>
  <c r="F209"/>
  <c r="F210" s="1"/>
  <c r="F211" s="1"/>
  <c r="F146" i="1" s="1"/>
  <c r="F154" i="12"/>
  <c r="F153"/>
  <c r="F149"/>
  <c r="F148"/>
  <c r="F119"/>
  <c r="F120"/>
  <c r="F124"/>
  <c r="F125"/>
  <c r="F46"/>
  <c r="F47" s="1"/>
  <c r="F42"/>
  <c r="F41"/>
  <c r="F111"/>
  <c r="F112" s="1"/>
  <c r="F107"/>
  <c r="F106"/>
  <c r="F33"/>
  <c r="F32"/>
  <c r="F31"/>
  <c r="F27"/>
  <c r="F26"/>
  <c r="G104" i="1"/>
  <c r="G103"/>
  <c r="G39"/>
  <c r="H39" s="1"/>
  <c r="G81" l="1"/>
  <c r="H81" s="1"/>
  <c r="H104"/>
  <c r="H103"/>
  <c r="F235" i="12"/>
  <c r="F236" s="1"/>
  <c r="F150"/>
  <c r="F151" s="1"/>
  <c r="F155"/>
  <c r="F126"/>
  <c r="F121"/>
  <c r="F122" s="1"/>
  <c r="F43"/>
  <c r="F44" s="1"/>
  <c r="F48" s="1"/>
  <c r="F49" s="1"/>
  <c r="F71" i="1" s="1"/>
  <c r="F108" i="12"/>
  <c r="F109" s="1"/>
  <c r="F113" s="1"/>
  <c r="F114" s="1"/>
  <c r="F91" i="1" s="1"/>
  <c r="G91" s="1"/>
  <c r="H91" s="1"/>
  <c r="F34" i="12"/>
  <c r="F28"/>
  <c r="F29" s="1"/>
  <c r="G153" i="1" l="1"/>
  <c r="H153" s="1"/>
  <c r="H154" s="1"/>
  <c r="C71" i="19" s="1"/>
  <c r="F156" i="1"/>
  <c r="G156" s="1"/>
  <c r="H156" s="1"/>
  <c r="H175" s="1"/>
  <c r="C74" i="19" s="1"/>
  <c r="F127" i="12"/>
  <c r="F128" s="1"/>
  <c r="F99" i="1" s="1"/>
  <c r="G99" s="1"/>
  <c r="H99" s="1"/>
  <c r="F156" i="12"/>
  <c r="F157" s="1"/>
  <c r="F107" i="1" s="1"/>
  <c r="G107" s="1"/>
  <c r="H107" s="1"/>
  <c r="F35" i="12"/>
  <c r="F36" s="1"/>
  <c r="T76" i="19" l="1"/>
  <c r="D76"/>
  <c r="H76"/>
  <c r="P76"/>
  <c r="L76"/>
  <c r="I154" i="1"/>
  <c r="I185"/>
  <c r="X76" i="19" l="1"/>
  <c r="G43" i="1"/>
  <c r="G42"/>
  <c r="AC76" i="19" l="1"/>
  <c r="H43" i="1"/>
  <c r="H42"/>
  <c r="F54" l="1"/>
  <c r="F53"/>
  <c r="F5" i="9" l="1"/>
  <c r="F7" s="1"/>
  <c r="F8" s="1"/>
  <c r="F6"/>
  <c r="F10"/>
  <c r="F11"/>
  <c r="F12"/>
  <c r="F13"/>
  <c r="F14"/>
  <c r="F15"/>
  <c r="F16" s="1"/>
  <c r="F22"/>
  <c r="F24" s="1"/>
  <c r="F25" s="1"/>
  <c r="F31" s="1"/>
  <c r="F23"/>
  <c r="F27"/>
  <c r="F28"/>
  <c r="F29"/>
  <c r="F30"/>
  <c r="F37"/>
  <c r="F39" s="1"/>
  <c r="F40" s="1"/>
  <c r="F44" s="1"/>
  <c r="F45" s="1"/>
  <c r="F38"/>
  <c r="D42"/>
  <c r="F42"/>
  <c r="F43" s="1"/>
  <c r="F49"/>
  <c r="F51" s="1"/>
  <c r="F52" s="1"/>
  <c r="F58" s="1"/>
  <c r="F59" s="1"/>
  <c r="F50"/>
  <c r="F54"/>
  <c r="F57" s="1"/>
  <c r="F55"/>
  <c r="F56"/>
  <c r="F63"/>
  <c r="F64"/>
  <c r="F65"/>
  <c r="F66" s="1"/>
  <c r="F68"/>
  <c r="F69"/>
  <c r="F71" s="1"/>
  <c r="E70"/>
  <c r="F70" s="1"/>
  <c r="F77"/>
  <c r="F78"/>
  <c r="F79"/>
  <c r="F80"/>
  <c r="F84" s="1"/>
  <c r="F85" s="1"/>
  <c r="F82"/>
  <c r="F83" s="1"/>
  <c r="F89"/>
  <c r="F91" s="1"/>
  <c r="F92" s="1"/>
  <c r="F96" s="1"/>
  <c r="F97" s="1"/>
  <c r="F90"/>
  <c r="F94"/>
  <c r="F95" s="1"/>
  <c r="F101"/>
  <c r="F103" s="1"/>
  <c r="F104" s="1"/>
  <c r="F102"/>
  <c r="F106"/>
  <c r="F107" s="1"/>
  <c r="F113"/>
  <c r="F115" s="1"/>
  <c r="F116" s="1"/>
  <c r="F114"/>
  <c r="F118"/>
  <c r="F121" s="1"/>
  <c r="F119"/>
  <c r="F120"/>
  <c r="F127"/>
  <c r="F128"/>
  <c r="F129"/>
  <c r="F130" s="1"/>
  <c r="F135" s="1"/>
  <c r="F136" s="1"/>
  <c r="F132"/>
  <c r="F133"/>
  <c r="F134"/>
  <c r="F140"/>
  <c r="F142" s="1"/>
  <c r="F143" s="1"/>
  <c r="F149" s="1"/>
  <c r="F150" s="1"/>
  <c r="F141"/>
  <c r="F145"/>
  <c r="F148" s="1"/>
  <c r="F146"/>
  <c r="F147"/>
  <c r="F154"/>
  <c r="F155"/>
  <c r="F156"/>
  <c r="F157"/>
  <c r="F161" s="1"/>
  <c r="F162" s="1"/>
  <c r="F159"/>
  <c r="F160"/>
  <c r="F167"/>
  <c r="F168"/>
  <c r="F169"/>
  <c r="F170"/>
  <c r="F172"/>
  <c r="F173"/>
  <c r="F176" s="1"/>
  <c r="F174"/>
  <c r="F175"/>
  <c r="F182"/>
  <c r="F184" s="1"/>
  <c r="F185" s="1"/>
  <c r="F192" s="1"/>
  <c r="F193" s="1"/>
  <c r="F183"/>
  <c r="F187"/>
  <c r="F188"/>
  <c r="F189"/>
  <c r="F190"/>
  <c r="F191"/>
  <c r="F197"/>
  <c r="F199" s="1"/>
  <c r="F200" s="1"/>
  <c r="F198"/>
  <c r="F202"/>
  <c r="F203"/>
  <c r="F206" s="1"/>
  <c r="F204"/>
  <c r="F205"/>
  <c r="F212"/>
  <c r="F213"/>
  <c r="F214"/>
  <c r="F215" s="1"/>
  <c r="F217"/>
  <c r="F220" s="1"/>
  <c r="F218"/>
  <c r="F219"/>
  <c r="F226"/>
  <c r="F228" s="1"/>
  <c r="F229" s="1"/>
  <c r="F227"/>
  <c r="F231"/>
  <c r="F234" s="1"/>
  <c r="F232"/>
  <c r="F233"/>
  <c r="F240"/>
  <c r="F241"/>
  <c r="F242"/>
  <c r="F243" s="1"/>
  <c r="F245"/>
  <c r="F248" s="1"/>
  <c r="F246"/>
  <c r="F247"/>
  <c r="F254"/>
  <c r="F256" s="1"/>
  <c r="F257" s="1"/>
  <c r="F255"/>
  <c r="F259"/>
  <c r="F262" s="1"/>
  <c r="F260"/>
  <c r="F261"/>
  <c r="F268"/>
  <c r="F269"/>
  <c r="F270"/>
  <c r="F271" s="1"/>
  <c r="F277" s="1"/>
  <c r="F278" s="1"/>
  <c r="F273"/>
  <c r="F276" s="1"/>
  <c r="F274"/>
  <c r="F275"/>
  <c r="F282"/>
  <c r="F284" s="1"/>
  <c r="F285" s="1"/>
  <c r="F291" s="1"/>
  <c r="F292" s="1"/>
  <c r="F283"/>
  <c r="F287"/>
  <c r="F290" s="1"/>
  <c r="F288"/>
  <c r="F289"/>
  <c r="F296"/>
  <c r="F297"/>
  <c r="F298"/>
  <c r="F299" s="1"/>
  <c r="F301"/>
  <c r="F304" s="1"/>
  <c r="F302"/>
  <c r="F303"/>
  <c r="F310"/>
  <c r="F312" s="1"/>
  <c r="F313" s="1"/>
  <c r="F319" s="1"/>
  <c r="F320" s="1"/>
  <c r="F311"/>
  <c r="F315"/>
  <c r="F318" s="1"/>
  <c r="F316"/>
  <c r="F317"/>
  <c r="F324"/>
  <c r="F325"/>
  <c r="F326"/>
  <c r="F327" s="1"/>
  <c r="F329"/>
  <c r="F332" s="1"/>
  <c r="F330"/>
  <c r="F331"/>
  <c r="F338"/>
  <c r="F340" s="1"/>
  <c r="F341" s="1"/>
  <c r="F348" s="1"/>
  <c r="F349" s="1"/>
  <c r="F339"/>
  <c r="F343"/>
  <c r="F344"/>
  <c r="F345"/>
  <c r="F346"/>
  <c r="F347"/>
  <c r="F353"/>
  <c r="F355" s="1"/>
  <c r="F356" s="1"/>
  <c r="F354"/>
  <c r="F358"/>
  <c r="F359"/>
  <c r="F361" s="1"/>
  <c r="F360"/>
  <c r="F367"/>
  <c r="F368"/>
  <c r="F369" s="1"/>
  <c r="F370" s="1"/>
  <c r="F376" s="1"/>
  <c r="F377" s="1"/>
  <c r="F372"/>
  <c r="F373"/>
  <c r="F374"/>
  <c r="F375"/>
  <c r="F381"/>
  <c r="F383" s="1"/>
  <c r="F384" s="1"/>
  <c r="F382"/>
  <c r="F386"/>
  <c r="F387"/>
  <c r="F389" s="1"/>
  <c r="F388"/>
  <c r="F395"/>
  <c r="F396"/>
  <c r="F397" s="1"/>
  <c r="F398" s="1"/>
  <c r="F404" s="1"/>
  <c r="F405" s="1"/>
  <c r="F400"/>
  <c r="F401"/>
  <c r="F402"/>
  <c r="F403"/>
  <c r="F409"/>
  <c r="F411" s="1"/>
  <c r="F412" s="1"/>
  <c r="F418" s="1"/>
  <c r="F419" s="1"/>
  <c r="F410"/>
  <c r="F414"/>
  <c r="F415"/>
  <c r="F417" s="1"/>
  <c r="F416"/>
  <c r="F423"/>
  <c r="F424"/>
  <c r="F425" s="1"/>
  <c r="F426" s="1"/>
  <c r="F428"/>
  <c r="F429"/>
  <c r="F430"/>
  <c r="F431"/>
  <c r="F433" s="1"/>
  <c r="F432"/>
  <c r="F440"/>
  <c r="F442" s="1"/>
  <c r="F443" s="1"/>
  <c r="F449" s="1"/>
  <c r="F450" s="1"/>
  <c r="F441"/>
  <c r="F445"/>
  <c r="F446"/>
  <c r="F448" s="1"/>
  <c r="F447"/>
  <c r="F454"/>
  <c r="F456" s="1"/>
  <c r="F457" s="1"/>
  <c r="F455"/>
  <c r="F459"/>
  <c r="F460"/>
  <c r="F462" s="1"/>
  <c r="F461"/>
  <c r="F468"/>
  <c r="F470" s="1"/>
  <c r="F471" s="1"/>
  <c r="F469"/>
  <c r="F473"/>
  <c r="F474"/>
  <c r="F476" s="1"/>
  <c r="F475"/>
  <c r="F482"/>
  <c r="F484" s="1"/>
  <c r="F485" s="1"/>
  <c r="F491" s="1"/>
  <c r="F492" s="1"/>
  <c r="F483"/>
  <c r="F487"/>
  <c r="F488"/>
  <c r="F490" s="1"/>
  <c r="F489"/>
  <c r="F496"/>
  <c r="F497"/>
  <c r="F498" s="1"/>
  <c r="F499" s="1"/>
  <c r="F505" s="1"/>
  <c r="F506" s="1"/>
  <c r="F501"/>
  <c r="F502"/>
  <c r="F504" s="1"/>
  <c r="F503"/>
  <c r="F510"/>
  <c r="F511"/>
  <c r="F518" s="1"/>
  <c r="F519" s="1"/>
  <c r="F512"/>
  <c r="F513"/>
  <c r="F514"/>
  <c r="F515"/>
  <c r="F516"/>
  <c r="F517"/>
  <c r="F521"/>
  <c r="F522"/>
  <c r="F541" s="1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3"/>
  <c r="F544" s="1"/>
  <c r="F551"/>
  <c r="F553" s="1"/>
  <c r="F554" s="1"/>
  <c r="F552"/>
  <c r="F556"/>
  <c r="F559" s="1"/>
  <c r="F557"/>
  <c r="F558"/>
  <c r="F566"/>
  <c r="F567"/>
  <c r="F568"/>
  <c r="F569" s="1"/>
  <c r="F574" s="1"/>
  <c r="F575" s="1"/>
  <c r="F571"/>
  <c r="F572"/>
  <c r="F573"/>
  <c r="D579"/>
  <c r="F579"/>
  <c r="F581" s="1"/>
  <c r="F582" s="1"/>
  <c r="F588" s="1"/>
  <c r="F589" s="1"/>
  <c r="D580"/>
  <c r="F580"/>
  <c r="F584"/>
  <c r="F585"/>
  <c r="F586"/>
  <c r="F587"/>
  <c r="F594"/>
  <c r="F596" s="1"/>
  <c r="F597" s="1"/>
  <c r="F605" s="1"/>
  <c r="F606" s="1"/>
  <c r="F595"/>
  <c r="F599"/>
  <c r="F600"/>
  <c r="F601"/>
  <c r="F602"/>
  <c r="F603"/>
  <c r="F604"/>
  <c r="F611"/>
  <c r="F613" s="1"/>
  <c r="F614" s="1"/>
  <c r="F626" s="1"/>
  <c r="F627" s="1"/>
  <c r="F612"/>
  <c r="F616"/>
  <c r="F617"/>
  <c r="F618"/>
  <c r="F619"/>
  <c r="F620"/>
  <c r="F621"/>
  <c r="F622"/>
  <c r="F623"/>
  <c r="F624"/>
  <c r="F625"/>
  <c r="F631"/>
  <c r="F633" s="1"/>
  <c r="F634" s="1"/>
  <c r="F641" s="1"/>
  <c r="F642" s="1"/>
  <c r="F632"/>
  <c r="F636"/>
  <c r="F637"/>
  <c r="F638"/>
  <c r="D639"/>
  <c r="F639" s="1"/>
  <c r="F640" s="1"/>
  <c r="F646"/>
  <c r="F648" s="1"/>
  <c r="F649" s="1"/>
  <c r="F647"/>
  <c r="F651"/>
  <c r="F652"/>
  <c r="F653"/>
  <c r="D654"/>
  <c r="F654" s="1"/>
  <c r="F655" s="1"/>
  <c r="F662"/>
  <c r="F664" s="1"/>
  <c r="F665" s="1"/>
  <c r="F671" s="1"/>
  <c r="F672" s="1"/>
  <c r="F663"/>
  <c r="F667"/>
  <c r="F668"/>
  <c r="F670" s="1"/>
  <c r="F669"/>
  <c r="F676"/>
  <c r="F677"/>
  <c r="F678" s="1"/>
  <c r="F679" s="1"/>
  <c r="F685" s="1"/>
  <c r="F686" s="1"/>
  <c r="F681"/>
  <c r="F682"/>
  <c r="F683"/>
  <c r="F684"/>
  <c r="F690"/>
  <c r="F692" s="1"/>
  <c r="F693" s="1"/>
  <c r="F705" s="1"/>
  <c r="F706" s="1"/>
  <c r="F691"/>
  <c r="F695"/>
  <c r="F696"/>
  <c r="F697"/>
  <c r="F698"/>
  <c r="F699"/>
  <c r="F700"/>
  <c r="F701"/>
  <c r="F702"/>
  <c r="F703"/>
  <c r="F704"/>
  <c r="F711"/>
  <c r="F712"/>
  <c r="F713" s="1"/>
  <c r="F717" s="1"/>
  <c r="F718" s="1"/>
  <c r="F715"/>
  <c r="F716" s="1"/>
  <c r="F723"/>
  <c r="F724"/>
  <c r="F725"/>
  <c r="F726" s="1"/>
  <c r="F732" s="1"/>
  <c r="F733" s="1"/>
  <c r="F728"/>
  <c r="F729"/>
  <c r="D730"/>
  <c r="F730" s="1"/>
  <c r="F731" s="1"/>
  <c r="F738"/>
  <c r="F739"/>
  <c r="F740" s="1"/>
  <c r="F744"/>
  <c r="F745" s="1"/>
  <c r="F746" s="1"/>
  <c r="F750"/>
  <c r="F752" s="1"/>
  <c r="F753" s="1"/>
  <c r="F760" s="1"/>
  <c r="F761" s="1"/>
  <c r="F751"/>
  <c r="F755"/>
  <c r="F756"/>
  <c r="F759" s="1"/>
  <c r="F757"/>
  <c r="F758"/>
  <c r="D765"/>
  <c r="F765" s="1"/>
  <c r="F766" s="1"/>
  <c r="F767" s="1"/>
  <c r="F768" s="1"/>
  <c r="F772"/>
  <c r="F774" s="1"/>
  <c r="F775" s="1"/>
  <c r="F773"/>
  <c r="D777"/>
  <c r="F777"/>
  <c r="F781" s="1"/>
  <c r="D778"/>
  <c r="F778"/>
  <c r="F779"/>
  <c r="F780"/>
  <c r="F787"/>
  <c r="F789" s="1"/>
  <c r="F790" s="1"/>
  <c r="F788"/>
  <c r="F792"/>
  <c r="F801" s="1"/>
  <c r="F793"/>
  <c r="F794"/>
  <c r="F795"/>
  <c r="F796"/>
  <c r="F797"/>
  <c r="F798"/>
  <c r="F799"/>
  <c r="F800"/>
  <c r="F807"/>
  <c r="F809" s="1"/>
  <c r="F810" s="1"/>
  <c r="F808"/>
  <c r="F812"/>
  <c r="F817" s="1"/>
  <c r="F813"/>
  <c r="F814"/>
  <c r="F815"/>
  <c r="F816"/>
  <c r="F823"/>
  <c r="F825" s="1"/>
  <c r="F826" s="1"/>
  <c r="F834" s="1"/>
  <c r="F835" s="1"/>
  <c r="F824"/>
  <c r="F828"/>
  <c r="F833" s="1"/>
  <c r="F829"/>
  <c r="F830"/>
  <c r="F831"/>
  <c r="F832"/>
  <c r="F839"/>
  <c r="F841" s="1"/>
  <c r="F842" s="1"/>
  <c r="F848" s="1"/>
  <c r="F849" s="1"/>
  <c r="F840"/>
  <c r="F844"/>
  <c r="F847" s="1"/>
  <c r="F845"/>
  <c r="F846"/>
  <c r="F853"/>
  <c r="F854"/>
  <c r="F855"/>
  <c r="F856" s="1"/>
  <c r="F858"/>
  <c r="F861" s="1"/>
  <c r="F859"/>
  <c r="F860"/>
  <c r="F867"/>
  <c r="F869" s="1"/>
  <c r="F870" s="1"/>
  <c r="F868"/>
  <c r="F872"/>
  <c r="F875" s="1"/>
  <c r="F873"/>
  <c r="F874"/>
  <c r="F881"/>
  <c r="F882"/>
  <c r="F883"/>
  <c r="F884" s="1"/>
  <c r="F886"/>
  <c r="F889" s="1"/>
  <c r="F887"/>
  <c r="F888"/>
  <c r="F895"/>
  <c r="F897" s="1"/>
  <c r="F898" s="1"/>
  <c r="F896"/>
  <c r="F900"/>
  <c r="F903" s="1"/>
  <c r="F901"/>
  <c r="F902"/>
  <c r="F909"/>
  <c r="F910" s="1"/>
  <c r="F911" s="1"/>
  <c r="F915" s="1"/>
  <c r="F916" s="1"/>
  <c r="F913"/>
  <c r="F914"/>
  <c r="A12" i="12"/>
  <c r="A14"/>
  <c r="A37"/>
  <c r="A129"/>
  <c r="A131"/>
  <c r="D133"/>
  <c r="F133" s="1"/>
  <c r="D134"/>
  <c r="F134" s="1"/>
  <c r="F138"/>
  <c r="F139"/>
  <c r="F140"/>
  <c r="A144"/>
  <c r="A158"/>
  <c r="A177"/>
  <c r="A212"/>
  <c r="F216"/>
  <c r="F217" s="1"/>
  <c r="F218" s="1"/>
  <c r="F220"/>
  <c r="F221" s="1"/>
  <c r="G21" i="1"/>
  <c r="H21" s="1"/>
  <c r="I21"/>
  <c r="J21"/>
  <c r="G23"/>
  <c r="G52"/>
  <c r="H52" s="1"/>
  <c r="G53"/>
  <c r="H53" s="1"/>
  <c r="G54"/>
  <c r="H54" s="1"/>
  <c r="G55"/>
  <c r="H55" s="1"/>
  <c r="G56"/>
  <c r="H56" s="1"/>
  <c r="G57"/>
  <c r="H57" s="1"/>
  <c r="G58"/>
  <c r="H58" s="1"/>
  <c r="G59"/>
  <c r="H59" s="1"/>
  <c r="G61"/>
  <c r="H61" s="1"/>
  <c r="G63"/>
  <c r="H63" s="1"/>
  <c r="G65"/>
  <c r="H65" s="1"/>
  <c r="G84"/>
  <c r="H84" s="1"/>
  <c r="G67"/>
  <c r="H67" s="1"/>
  <c r="G68"/>
  <c r="H68" s="1"/>
  <c r="G70"/>
  <c r="H70" s="1"/>
  <c r="G72"/>
  <c r="H72" s="1"/>
  <c r="G95"/>
  <c r="H95" s="1"/>
  <c r="G98"/>
  <c r="H98" s="1"/>
  <c r="G114"/>
  <c r="G121"/>
  <c r="H121" s="1"/>
  <c r="G122"/>
  <c r="H122" s="1"/>
  <c r="G128"/>
  <c r="H128" s="1"/>
  <c r="G129"/>
  <c r="H129" s="1"/>
  <c r="G131"/>
  <c r="H131" s="1"/>
  <c r="G138"/>
  <c r="H138" s="1"/>
  <c r="G26"/>
  <c r="H26" s="1"/>
  <c r="G27"/>
  <c r="H27" s="1"/>
  <c r="G28"/>
  <c r="H28" s="1"/>
  <c r="G29"/>
  <c r="H29" s="1"/>
  <c r="G32"/>
  <c r="H32" s="1"/>
  <c r="G33"/>
  <c r="H33" s="1"/>
  <c r="G34"/>
  <c r="H34" s="1"/>
  <c r="G35"/>
  <c r="G150"/>
  <c r="H150" s="1"/>
  <c r="H92" l="1"/>
  <c r="C38" i="19" s="1"/>
  <c r="H114" i="1"/>
  <c r="H35"/>
  <c r="H36" s="1"/>
  <c r="C26" i="19" s="1"/>
  <c r="H23" i="1"/>
  <c r="H46"/>
  <c r="C32" i="19" s="1"/>
  <c r="P34" s="1"/>
  <c r="G132" i="1"/>
  <c r="H132" s="1"/>
  <c r="H136" s="1"/>
  <c r="C59" i="19" s="1"/>
  <c r="G118" i="1"/>
  <c r="H118" s="1"/>
  <c r="F463" i="9"/>
  <c r="F464" s="1"/>
  <c r="F390"/>
  <c r="F391" s="1"/>
  <c r="F33"/>
  <c r="F32"/>
  <c r="F904"/>
  <c r="F905" s="1"/>
  <c r="F890"/>
  <c r="F891" s="1"/>
  <c r="F818"/>
  <c r="F819" s="1"/>
  <c r="F560"/>
  <c r="F561" s="1"/>
  <c r="F545"/>
  <c r="F546" s="1"/>
  <c r="F477"/>
  <c r="F478" s="1"/>
  <c r="F434"/>
  <c r="F435" s="1"/>
  <c r="F362"/>
  <c r="F363" s="1"/>
  <c r="F263"/>
  <c r="F264" s="1"/>
  <c r="F249"/>
  <c r="F250" s="1"/>
  <c r="F122"/>
  <c r="F123" s="1"/>
  <c r="F17"/>
  <c r="F18" s="1"/>
  <c r="F876"/>
  <c r="F877" s="1"/>
  <c r="F862"/>
  <c r="F863" s="1"/>
  <c r="F802"/>
  <c r="F803" s="1"/>
  <c r="F782"/>
  <c r="F783" s="1"/>
  <c r="F656"/>
  <c r="F657" s="1"/>
  <c r="F333"/>
  <c r="F334" s="1"/>
  <c r="F235"/>
  <c r="F236" s="1"/>
  <c r="F221"/>
  <c r="F222" s="1"/>
  <c r="F207"/>
  <c r="F208" s="1"/>
  <c r="F177"/>
  <c r="F178" s="1"/>
  <c r="F108"/>
  <c r="F109" s="1"/>
  <c r="F72"/>
  <c r="F73" s="1"/>
  <c r="F222" i="12"/>
  <c r="F223" s="1"/>
  <c r="F149" i="1" s="1"/>
  <c r="G149" s="1"/>
  <c r="H149" s="1"/>
  <c r="F305" i="9"/>
  <c r="F306" s="1"/>
  <c r="G94" i="1"/>
  <c r="H94" s="1"/>
  <c r="G146"/>
  <c r="H146" s="1"/>
  <c r="G144"/>
  <c r="H144" s="1"/>
  <c r="F141" i="12"/>
  <c r="F135"/>
  <c r="F136" s="1"/>
  <c r="G71" i="1"/>
  <c r="H71" s="1"/>
  <c r="G69"/>
  <c r="H69" s="1"/>
  <c r="H123"/>
  <c r="C53" i="19" s="1"/>
  <c r="D28" l="1"/>
  <c r="H28"/>
  <c r="H100" i="1"/>
  <c r="C41" i="19" s="1"/>
  <c r="P43" s="1"/>
  <c r="I123" i="1"/>
  <c r="I46"/>
  <c r="H151"/>
  <c r="C68" i="19" s="1"/>
  <c r="G145" i="1"/>
  <c r="G139"/>
  <c r="H139" s="1"/>
  <c r="F142" i="12"/>
  <c r="F143" s="1"/>
  <c r="F102" i="1" s="1"/>
  <c r="G102" s="1"/>
  <c r="H102" s="1"/>
  <c r="G38"/>
  <c r="H38" s="1"/>
  <c r="F20"/>
  <c r="G20" s="1"/>
  <c r="H20" s="1"/>
  <c r="I100" l="1"/>
  <c r="I151"/>
  <c r="X70" i="19"/>
  <c r="H145" i="1"/>
  <c r="H147" s="1"/>
  <c r="C65" i="19" s="1"/>
  <c r="H24" i="1"/>
  <c r="C23" i="19" s="1"/>
  <c r="H142" i="1"/>
  <c r="C62" i="19" s="1"/>
  <c r="H105" i="1"/>
  <c r="C44" i="19" s="1"/>
  <c r="H40" i="1"/>
  <c r="C29" i="19" s="1"/>
  <c r="L31" s="1"/>
  <c r="AC31" s="1"/>
  <c r="G73" i="1"/>
  <c r="G109"/>
  <c r="H119"/>
  <c r="C50" i="19" s="1"/>
  <c r="P52" s="1"/>
  <c r="L52" l="1"/>
  <c r="AC52" s="1"/>
  <c r="AC70"/>
  <c r="I24" i="1"/>
  <c r="D25" i="19"/>
  <c r="AC25" s="1"/>
  <c r="I119" i="1"/>
  <c r="I105"/>
  <c r="D43" i="19"/>
  <c r="I40" i="1"/>
  <c r="I147"/>
  <c r="H126"/>
  <c r="C56" i="19" s="1"/>
  <c r="H109" i="1"/>
  <c r="H112" s="1"/>
  <c r="C47" i="19" s="1"/>
  <c r="H73" i="1"/>
  <c r="H82" s="1"/>
  <c r="C35" i="19" s="1"/>
  <c r="P40"/>
  <c r="AC40" s="1"/>
  <c r="T37" l="1"/>
  <c r="P37"/>
  <c r="X37"/>
  <c r="AC28"/>
  <c r="H176" i="1"/>
  <c r="I126"/>
  <c r="I82"/>
  <c r="L34" i="19"/>
  <c r="I112" i="1"/>
  <c r="L46" i="19"/>
  <c r="I136" i="1"/>
  <c r="T67" i="19"/>
  <c r="L61"/>
  <c r="X61"/>
  <c r="X64"/>
  <c r="P49"/>
  <c r="X49"/>
  <c r="P61"/>
  <c r="L49"/>
  <c r="H61"/>
  <c r="T61"/>
  <c r="T49"/>
  <c r="H43"/>
  <c r="L43"/>
  <c r="I183" i="1" l="1"/>
  <c r="I186" s="1"/>
  <c r="I178"/>
  <c r="H46" i="19"/>
  <c r="AC43"/>
  <c r="C77"/>
  <c r="AC64"/>
  <c r="AC67"/>
  <c r="I176" i="1"/>
  <c r="AC49" i="19"/>
  <c r="AC61"/>
  <c r="X73"/>
  <c r="P58"/>
  <c r="T55"/>
  <c r="X55"/>
  <c r="P46"/>
  <c r="P55"/>
  <c r="L37"/>
  <c r="T73"/>
  <c r="D77"/>
  <c r="X77" l="1"/>
  <c r="X78" s="1"/>
  <c r="T77"/>
  <c r="T78" s="1"/>
  <c r="P77"/>
  <c r="P78" s="1"/>
  <c r="L77"/>
  <c r="L78" s="1"/>
  <c r="H77"/>
  <c r="H78" s="1"/>
  <c r="AC46"/>
  <c r="AC34"/>
  <c r="AC37"/>
  <c r="AC58"/>
  <c r="AC73"/>
  <c r="AC55"/>
  <c r="AB38"/>
  <c r="AB74"/>
  <c r="AB56"/>
  <c r="AB62"/>
  <c r="AB32"/>
  <c r="AB53"/>
  <c r="AB71"/>
  <c r="AB50"/>
  <c r="AB23"/>
  <c r="AB26"/>
  <c r="AB59"/>
  <c r="AB47"/>
  <c r="AB68"/>
  <c r="AB44"/>
  <c r="AB35"/>
  <c r="AB41"/>
  <c r="AB65"/>
  <c r="D78"/>
  <c r="AB29"/>
  <c r="AC78" l="1"/>
  <c r="AB77"/>
  <c r="AB78"/>
</calcChain>
</file>

<file path=xl/comments1.xml><?xml version="1.0" encoding="utf-8"?>
<comments xmlns="http://schemas.openxmlformats.org/spreadsheetml/2006/main">
  <authors>
    <author>rosana.vieira</author>
    <author>ayla.arruda</author>
  </authors>
  <commentList>
    <comment ref="E22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considerando meio metro pra cada lado</t>
        </r>
      </text>
    </comment>
    <comment ref="E38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COBOGÓ NO OITÃO TAMBÉM (1X0,50 M PRA CADA LADO)</t>
        </r>
      </text>
    </comment>
    <comment ref="C39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estimado para recomposição do pilar falso na farmácia e demais reparos
</t>
        </r>
      </text>
    </comment>
    <comment ref="E42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FATOR DE CORREÇÃO 20% = 1,02</t>
        </r>
      </text>
    </comment>
    <comment ref="E134" authorId="1">
      <text>
        <r>
          <rPr>
            <b/>
            <sz val="9"/>
            <color indexed="81"/>
            <rFont val="Tahoma"/>
            <family val="2"/>
          </rPr>
          <t>ayla.arruda:</t>
        </r>
        <r>
          <rPr>
            <sz val="9"/>
            <color indexed="81"/>
            <rFont val="Tahoma"/>
            <family val="2"/>
          </rPr>
          <t xml:space="preserve">
para 2 demãos.</t>
        </r>
      </text>
    </comment>
    <comment ref="E140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para rampa e interno ao prédio</t>
        </r>
      </text>
    </comment>
    <comment ref="E141" authorId="0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considerando 15 cm de altura ao redor das calçadas e rampas</t>
        </r>
      </text>
    </comment>
  </commentList>
</comments>
</file>

<file path=xl/comments2.xml><?xml version="1.0" encoding="utf-8"?>
<comments xmlns="http://schemas.openxmlformats.org/spreadsheetml/2006/main">
  <authors>
    <author>rosanavieira</author>
    <author>manoela.caldas</author>
    <author>rosana.vieira</author>
    <author>jessica.gaia</author>
  </authors>
  <commentList>
    <comment ref="B24" authorId="0">
      <text>
        <r>
          <rPr>
            <b/>
            <sz val="9"/>
            <color indexed="81"/>
            <rFont val="Tahoma"/>
            <family val="2"/>
          </rPr>
          <t>rosanavieira:</t>
        </r>
        <r>
          <rPr>
            <sz val="9"/>
            <color indexed="81"/>
            <rFont val="Tahoma"/>
            <family val="2"/>
          </rPr>
          <t xml:space="preserve">
baseado na composição do TCPO: CANTEIRO DE OBRA E MATERIAIS BÁSICOS, pág 90 do arquivo eletrônico</t>
        </r>
      </text>
    </comment>
    <comment ref="A33" authorId="1">
      <text>
        <r>
          <rPr>
            <b/>
            <sz val="9"/>
            <color indexed="81"/>
            <rFont val="Tahoma"/>
            <family val="2"/>
          </rPr>
          <t>manoela.caldas:</t>
        </r>
        <r>
          <rPr>
            <sz val="9"/>
            <color indexed="81"/>
            <rFont val="Tahoma"/>
            <family val="2"/>
          </rPr>
          <t xml:space="preserve">
comercial goiania 6905</t>
        </r>
      </text>
    </comment>
    <comment ref="B51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na composição 97592</t>
        </r>
      </text>
    </comment>
    <comment ref="A59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COMERCIAL GOIÂNIA 5753
LAMPADA LED E-27 BIV 20W 6500K ELGIN</t>
        </r>
      </text>
    </comment>
    <comment ref="B64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na composição 91933</t>
        </r>
      </text>
    </comment>
    <comment ref="A71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cotação feita pelo George</t>
        </r>
      </text>
    </comment>
    <comment ref="E71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INDUSCABOS</t>
        </r>
      </text>
    </comment>
    <comment ref="B77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na composição 91933</t>
        </r>
      </text>
    </comment>
    <comment ref="E84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https://produto.mercadolivre.com.br/MLB-713404407-quadro-de-transferencia-automatico-qta-275-amper-100-kva-_JM#position=1&amp;type=item&amp;tracking_id=16e3c8bb-15d2-4b2f-9ef1-4957292a4e85</t>
        </r>
      </text>
    </comment>
    <comment ref="B89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sedop 170512</t>
        </r>
      </text>
    </comment>
    <comment ref="D92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CONSIDERANDO TEMPO PARA TRANSPORTE, DESCARGA E COLOCAR NO LUGAR O GERADOR</t>
        </r>
      </text>
    </comment>
    <comment ref="D97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CONSIDERANDO 1,5 T</t>
        </r>
      </text>
    </comment>
    <comment ref="B104" authorId="3">
      <text>
        <r>
          <rPr>
            <b/>
            <sz val="9"/>
            <color indexed="81"/>
            <rFont val="Tahoma"/>
            <family val="2"/>
          </rPr>
          <t>jessica.gaia:</t>
        </r>
        <r>
          <rPr>
            <sz val="9"/>
            <color indexed="81"/>
            <rFont val="Tahoma"/>
            <family val="2"/>
          </rPr>
          <t xml:space="preserve">
Baseado na composição 93673</t>
        </r>
      </text>
    </comment>
    <comment ref="A111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COTADO PELO ENG. DEIVISON EM 01.02.2021</t>
        </r>
      </text>
    </comment>
    <comment ref="B117" authorId="1">
      <text>
        <r>
          <rPr>
            <b/>
            <sz val="9"/>
            <color indexed="81"/>
            <rFont val="Tahoma"/>
            <family val="2"/>
          </rPr>
          <t>manoela.caldas:</t>
        </r>
        <r>
          <rPr>
            <sz val="9"/>
            <color indexed="81"/>
            <rFont val="Tahoma"/>
            <family val="2"/>
          </rPr>
          <t xml:space="preserve">
baseado na composição SEDOP 231084</t>
        </r>
      </text>
    </comment>
    <comment ref="B146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sinapi 94992</t>
        </r>
      </text>
    </comment>
    <comment ref="B160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91299 baseado</t>
        </r>
      </text>
    </comment>
    <comment ref="B179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NA COMPOSIÇÃO 93584</t>
        </r>
      </text>
    </comment>
    <comment ref="B187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BASEADO NA COMPOSIÇÃO 93584</t>
        </r>
      </text>
    </comment>
    <comment ref="D228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240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252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264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276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288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00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12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24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36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48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60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72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84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396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408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420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  <comment ref="D432" authorId="2">
      <text>
        <r>
          <rPr>
            <b/>
            <sz val="9"/>
            <color indexed="81"/>
            <rFont val="Tahoma"/>
            <family val="2"/>
          </rPr>
          <t>rosana.vieira:</t>
        </r>
        <r>
          <rPr>
            <sz val="9"/>
            <color indexed="81"/>
            <rFont val="Tahoma"/>
            <family val="2"/>
          </rPr>
          <t xml:space="preserve">
tempos estimados com o eng. George</t>
        </r>
      </text>
    </comment>
  </commentList>
</comments>
</file>

<file path=xl/comments3.xml><?xml version="1.0" encoding="utf-8"?>
<comments xmlns="http://schemas.openxmlformats.org/spreadsheetml/2006/main">
  <authors>
    <author>marilia</author>
    <author>jessicagaia</author>
    <author>Marcio Hiroshi</author>
    <author>obras01</author>
    <author>obras17</author>
    <author>Hiroshi</author>
  </authors>
  <commentList>
    <comment ref="B20" authorId="0">
      <text>
        <r>
          <rPr>
            <b/>
            <sz val="8"/>
            <color indexed="81"/>
            <rFont val="Tahoma"/>
            <family val="2"/>
          </rPr>
          <t>marilia:</t>
        </r>
        <r>
          <rPr>
            <sz val="8"/>
            <color indexed="81"/>
            <rFont val="Tahoma"/>
            <family val="2"/>
          </rPr>
          <t xml:space="preserve">
Composição retirada da praça PAC</t>
        </r>
      </text>
    </comment>
    <comment ref="E54" authorId="1">
      <text>
        <r>
          <rPr>
            <b/>
            <sz val="8"/>
            <color indexed="81"/>
            <rFont val="Tahoma"/>
            <family val="2"/>
          </rPr>
          <t>jessicagaia:</t>
        </r>
        <r>
          <rPr>
            <sz val="8"/>
            <color indexed="81"/>
            <rFont val="Tahoma"/>
            <family val="2"/>
          </rPr>
          <t xml:space="preserve">
item 4229
</t>
        </r>
      </text>
    </comment>
    <comment ref="E55" authorId="1">
      <text>
        <r>
          <rPr>
            <b/>
            <sz val="8"/>
            <color indexed="81"/>
            <rFont val="Tahoma"/>
            <family val="2"/>
          </rPr>
          <t>jessicagaia:</t>
        </r>
        <r>
          <rPr>
            <sz val="8"/>
            <color indexed="81"/>
            <rFont val="Tahoma"/>
            <family val="2"/>
          </rPr>
          <t xml:space="preserve">
valor tirado do comercial goiânia
</t>
        </r>
      </text>
    </comment>
    <comment ref="B75" authorId="2">
      <text>
        <r>
          <rPr>
            <b/>
            <sz val="8"/>
            <color indexed="81"/>
            <rFont val="Tahoma"/>
            <family val="2"/>
          </rPr>
          <t>Marcio Hiroshi:
Não foi encontrado em nenhum catálogo o valor deste quadro de medição. Verificar se o preço adotado anteriormente está correto.</t>
        </r>
      </text>
    </comment>
    <comment ref="B111" authorId="0">
      <text>
        <r>
          <rPr>
            <b/>
            <sz val="8"/>
            <color indexed="81"/>
            <rFont val="Tahoma"/>
            <family val="2"/>
          </rPr>
          <t>marilia:</t>
        </r>
        <r>
          <rPr>
            <sz val="8"/>
            <color indexed="81"/>
            <rFont val="Tahoma"/>
            <family val="2"/>
          </rPr>
          <t xml:space="preserve">
Retirada da planilha do CER III</t>
        </r>
      </text>
    </comment>
    <comment ref="E118" authorId="0">
      <text>
        <r>
          <rPr>
            <b/>
            <sz val="8"/>
            <color indexed="81"/>
            <rFont val="Tahoma"/>
            <family val="2"/>
          </rPr>
          <t>marilia:</t>
        </r>
        <r>
          <rPr>
            <sz val="8"/>
            <color indexed="81"/>
            <rFont val="Tahoma"/>
            <family val="2"/>
          </rPr>
          <t xml:space="preserve">
giamar.com</t>
        </r>
      </text>
    </comment>
    <comment ref="E119" authorId="0">
      <text>
        <r>
          <rPr>
            <b/>
            <sz val="8"/>
            <color indexed="81"/>
            <rFont val="Tahoma"/>
            <family val="2"/>
          </rPr>
          <t>marilia:</t>
        </r>
        <r>
          <rPr>
            <sz val="8"/>
            <color indexed="81"/>
            <rFont val="Tahoma"/>
            <family val="2"/>
          </rPr>
          <t xml:space="preserve">
pontofrio.com</t>
        </r>
      </text>
    </comment>
    <comment ref="B174" authorId="3">
      <text>
        <r>
          <rPr>
            <b/>
            <sz val="8"/>
            <color indexed="81"/>
            <rFont val="Tahoma"/>
            <family val="2"/>
          </rPr>
          <t>obras01:</t>
        </r>
        <r>
          <rPr>
            <sz val="8"/>
            <color indexed="81"/>
            <rFont val="Tahoma"/>
            <family val="2"/>
          </rPr>
          <t xml:space="preserve">
foi usado como base o frasco com 850 g e feito uma proporção para 1000 g.</t>
        </r>
      </text>
    </comment>
    <comment ref="B189" authorId="3">
      <text>
        <r>
          <rPr>
            <b/>
            <sz val="8"/>
            <color indexed="81"/>
            <rFont val="Tahoma"/>
            <family val="2"/>
          </rPr>
          <t>obras01:</t>
        </r>
        <r>
          <rPr>
            <sz val="8"/>
            <color indexed="81"/>
            <rFont val="Tahoma"/>
            <family val="2"/>
          </rPr>
          <t xml:space="preserve">
foi usado como base o frasco com 850 g e feito uma proporção para 1000 g.</t>
        </r>
      </text>
    </comment>
    <comment ref="B204" authorId="3">
      <text>
        <r>
          <rPr>
            <b/>
            <sz val="8"/>
            <color indexed="81"/>
            <rFont val="Tahoma"/>
            <family val="2"/>
          </rPr>
          <t>obras01:</t>
        </r>
        <r>
          <rPr>
            <sz val="8"/>
            <color indexed="81"/>
            <rFont val="Tahoma"/>
            <family val="2"/>
          </rPr>
          <t xml:space="preserve">
foi usado como base o frasco com 850 g e feito uma proporção para 1000 g.</t>
        </r>
      </text>
    </comment>
    <comment ref="E432" authorId="1">
      <text>
        <r>
          <rPr>
            <b/>
            <sz val="8"/>
            <color indexed="81"/>
            <rFont val="Tahoma"/>
            <family val="2"/>
          </rPr>
          <t>jessicagaia:</t>
        </r>
        <r>
          <rPr>
            <sz val="8"/>
            <color indexed="81"/>
            <rFont val="Tahoma"/>
            <family val="2"/>
          </rPr>
          <t xml:space="preserve">
valor tirado do comercial goiânia
</t>
        </r>
      </text>
    </comment>
    <comment ref="B564" authorId="3">
      <text>
        <r>
          <rPr>
            <b/>
            <sz val="8"/>
            <color indexed="81"/>
            <rFont val="Tahoma"/>
            <family val="2"/>
          </rPr>
          <t>obras01:</t>
        </r>
        <r>
          <rPr>
            <sz val="8"/>
            <color indexed="81"/>
            <rFont val="Tahoma"/>
            <family val="2"/>
          </rPr>
          <t xml:space="preserve">
Valor tirado da planilha URE</t>
        </r>
      </text>
    </comment>
    <comment ref="B674" authorId="4">
      <text>
        <r>
          <rPr>
            <b/>
            <sz val="8"/>
            <color indexed="81"/>
            <rFont val="Tahoma"/>
            <family val="2"/>
          </rPr>
          <t>obras17:</t>
        </r>
        <r>
          <rPr>
            <sz val="8"/>
            <color indexed="81"/>
            <rFont val="Tahoma"/>
            <family val="2"/>
          </rPr>
          <t xml:space="preserve">
composição de bancada em aço inoxidável - tcpo 13ª edição pagina 360
</t>
        </r>
      </text>
    </comment>
    <comment ref="E715" authorId="5">
      <text>
        <r>
          <rPr>
            <b/>
            <sz val="9"/>
            <color indexed="81"/>
            <rFont val="Tahoma"/>
            <family val="2"/>
          </rPr>
          <t>Hiroshi:</t>
        </r>
        <r>
          <rPr>
            <sz val="9"/>
            <color indexed="81"/>
            <rFont val="Tahoma"/>
            <family val="2"/>
          </rPr>
          <t xml:space="preserve">
aumentado o valor por causa dos acessórios</t>
        </r>
      </text>
    </comment>
    <comment ref="B763" authorId="3">
      <text>
        <r>
          <rPr>
            <b/>
            <sz val="8"/>
            <color indexed="81"/>
            <rFont val="Tahoma"/>
            <family val="2"/>
          </rPr>
          <t>obras01:</t>
        </r>
        <r>
          <rPr>
            <sz val="8"/>
            <color indexed="81"/>
            <rFont val="Tahoma"/>
            <family val="2"/>
          </rPr>
          <t xml:space="preserve">
O valor do concreto armado tirado da Tabela do SINAPI = R$ 960,53 sem BDI </t>
        </r>
      </text>
    </comment>
  </commentList>
</comments>
</file>

<file path=xl/sharedStrings.xml><?xml version="1.0" encoding="utf-8"?>
<sst xmlns="http://schemas.openxmlformats.org/spreadsheetml/2006/main" count="3225" uniqueCount="871">
  <si>
    <t>ESTADO DO PARÁ</t>
  </si>
  <si>
    <t>PREFEITURA MUNICIPAL DE TUCURUÍ</t>
  </si>
  <si>
    <t>Item</t>
  </si>
  <si>
    <t xml:space="preserve">Serviços </t>
  </si>
  <si>
    <t>Unid.</t>
  </si>
  <si>
    <t>Quant.</t>
  </si>
  <si>
    <t>Valor Total</t>
  </si>
  <si>
    <t>1.1</t>
  </si>
  <si>
    <t>m³</t>
  </si>
  <si>
    <t>1.2</t>
  </si>
  <si>
    <t>1.3</t>
  </si>
  <si>
    <t>m²</t>
  </si>
  <si>
    <t>Execução de escavação manual de vala em solo de 1ª categoria com profundidade até 2,00 m</t>
  </si>
  <si>
    <t>Execução de apiloamento de fundo de vala</t>
  </si>
  <si>
    <t>kg</t>
  </si>
  <si>
    <t>Lançamento e compactação de reaterro manual com material coesivo de 1ª categoria proveniente da escavação das fundações</t>
  </si>
  <si>
    <t>4.1</t>
  </si>
  <si>
    <t>m</t>
  </si>
  <si>
    <t>un</t>
  </si>
  <si>
    <t>TOTAL GERAL DA PLANILHA</t>
  </si>
  <si>
    <t>4.2</t>
  </si>
  <si>
    <t>4.3</t>
  </si>
  <si>
    <t xml:space="preserve">m² </t>
  </si>
  <si>
    <t>cj</t>
  </si>
  <si>
    <t>6.1</t>
  </si>
  <si>
    <t>7.1.28</t>
  </si>
  <si>
    <t>8.1</t>
  </si>
  <si>
    <t>8.2</t>
  </si>
  <si>
    <t>8.3</t>
  </si>
  <si>
    <t>TOTAL DO ITEM 9</t>
  </si>
  <si>
    <t>10.1</t>
  </si>
  <si>
    <t>TOTAL DO ITEM 10</t>
  </si>
  <si>
    <t>12.1</t>
  </si>
  <si>
    <t>TOTAL DO ITEM 13</t>
  </si>
  <si>
    <t>14.1</t>
  </si>
  <si>
    <t>14.2</t>
  </si>
  <si>
    <t>Placa de inauguração em metal amarelo, dimensões 40cm de largura e 60cm de altura.</t>
  </si>
  <si>
    <t>14.3</t>
  </si>
  <si>
    <t>TOTAL DO ITEM 16</t>
  </si>
  <si>
    <t>6.2</t>
  </si>
  <si>
    <t>6.4</t>
  </si>
  <si>
    <t>6.5</t>
  </si>
  <si>
    <t>6.45</t>
  </si>
  <si>
    <t>Instalação provisória de luz e força para obra</t>
  </si>
  <si>
    <t>TOTAL DO ITEM 11</t>
  </si>
  <si>
    <t>TOTAL DO ITEM 14</t>
  </si>
  <si>
    <t>PLANILHA DE QUANTITATIVO E PREÇOS</t>
  </si>
  <si>
    <t>6.46</t>
  </si>
  <si>
    <t>1 - SERVIÇOS PRELIMINARES</t>
  </si>
  <si>
    <t>7.1.18</t>
  </si>
  <si>
    <t>6.3</t>
  </si>
  <si>
    <t>TOTAL DO ITEM 8</t>
  </si>
  <si>
    <t>11 - ESQUADRIAS DE MADEIRA/METÁLICA</t>
  </si>
  <si>
    <t>13- LOUÇAS/METAIS/GRANITO</t>
  </si>
  <si>
    <t>6.6</t>
  </si>
  <si>
    <t>7.1.22</t>
  </si>
  <si>
    <t>Fornecimento e instalação de eletroduto de PVC flexível leve - 1"</t>
  </si>
  <si>
    <t>16.2 - Serviços Diversos</t>
  </si>
  <si>
    <t>17 - SERVIÇOS COMPLEMENTARES</t>
  </si>
  <si>
    <t>17.2</t>
  </si>
  <si>
    <t>13.21</t>
  </si>
  <si>
    <t>Sinapi</t>
  </si>
  <si>
    <t>Descrição</t>
  </si>
  <si>
    <t>Índice</t>
  </si>
  <si>
    <t>Preço Unit.</t>
  </si>
  <si>
    <t>Total R$</t>
  </si>
  <si>
    <t>Mão de Obra</t>
  </si>
  <si>
    <t>00002696</t>
  </si>
  <si>
    <t>Encanador</t>
  </si>
  <si>
    <t>h</t>
  </si>
  <si>
    <t>00006116</t>
  </si>
  <si>
    <t>Ajudante de encanador</t>
  </si>
  <si>
    <t>Subtotal da Mão de Obra</t>
  </si>
  <si>
    <t>Total Parcial (A)</t>
  </si>
  <si>
    <t>Materiais</t>
  </si>
  <si>
    <t>00003146</t>
  </si>
  <si>
    <t>Fita de vedação</t>
  </si>
  <si>
    <t>00000122</t>
  </si>
  <si>
    <t>Adesivo para tubo PVC rígido</t>
  </si>
  <si>
    <t>00020083</t>
  </si>
  <si>
    <t>Solução limpadora para PVC rígido</t>
  </si>
  <si>
    <t>l</t>
  </si>
  <si>
    <t>Total Parcial (B)</t>
  </si>
  <si>
    <t>Total do Custo Unitário (A+B)</t>
  </si>
  <si>
    <t>Total do Preço Unitário</t>
  </si>
  <si>
    <t>Adaptador soldável curto com bolsa e rosca para registro Ø 40 mm x 1.1/4" - un</t>
  </si>
  <si>
    <t>00000109</t>
  </si>
  <si>
    <t xml:space="preserve">Adaptador soldável curto com bolsa e rosca para registro Ø 40mm x 1.1/4" </t>
  </si>
  <si>
    <t>Composição</t>
  </si>
  <si>
    <t>Fornecimento e instalação de bucha de redução soldável curta Ø 50 x 40 mm - un</t>
  </si>
  <si>
    <t>00000819</t>
  </si>
  <si>
    <t>bucha de redução soldável curta Ø 50 x 40 mm</t>
  </si>
  <si>
    <t>Fornecimento e instalação de joelho de redução 90 soldável 40mm - 32mm - un</t>
  </si>
  <si>
    <t>00010835</t>
  </si>
  <si>
    <t>joelho de redução 90 soldável 40mm - 32mm</t>
  </si>
  <si>
    <t>Fornecimento e instalação de joelho 90° soldável com bucha de latão Ø 20mm - 1/2" - un</t>
  </si>
  <si>
    <t>0003515</t>
  </si>
  <si>
    <t>joelho 90° soldável com bucha de latão Ø 20mm - 1/2"</t>
  </si>
  <si>
    <t>Fornecimento e instalação de  joelho de 90 º soldavel com bucha de latão 25 mm x 3/4" - un</t>
  </si>
  <si>
    <t>00003524</t>
  </si>
  <si>
    <t xml:space="preserve"> joelho de 90 º soldavel com bucha de latão 25 mm x 3/4"</t>
  </si>
  <si>
    <t>Fornecimento e instalação de tê 90º soldável de PVC marrom Ø 40mm - un</t>
  </si>
  <si>
    <t>0007141</t>
  </si>
  <si>
    <t>Tê 90º soldável de PVC marrom Ø 40mm</t>
  </si>
  <si>
    <t>00020079</t>
  </si>
  <si>
    <t>Pasta lubrificante para tubo PVC</t>
  </si>
  <si>
    <t>00000296</t>
  </si>
  <si>
    <t>anel de borracha para tubo PVC para esgoto serie normal (diam: 50mm)</t>
  </si>
  <si>
    <t>7.2 - Sanitário</t>
  </si>
  <si>
    <t>Fornecimento e instalação de redução excêntrica 100 x 50 mm - un</t>
  </si>
  <si>
    <t>00020043</t>
  </si>
  <si>
    <t>Redução excentrica 100 x 50mm</t>
  </si>
  <si>
    <t>Coeficiente</t>
  </si>
  <si>
    <t>00006117</t>
  </si>
  <si>
    <t>Ajudante de carpinteiro</t>
  </si>
  <si>
    <t>0006114</t>
  </si>
  <si>
    <t>Ajudante de armador</t>
  </si>
  <si>
    <t>00001213</t>
  </si>
  <si>
    <t>Carpinteiro</t>
  </si>
  <si>
    <t>00000378</t>
  </si>
  <si>
    <t>Armador</t>
  </si>
  <si>
    <t>00004750</t>
  </si>
  <si>
    <t>Pedreiro</t>
  </si>
  <si>
    <t>0006127</t>
  </si>
  <si>
    <t>Servente</t>
  </si>
  <si>
    <t>Aço CA-50 A Ø 12,5 mm</t>
  </si>
  <si>
    <t>00000297</t>
  </si>
  <si>
    <t xml:space="preserve">Anel de vedação para tubo PVC Ø 75 mm  </t>
  </si>
  <si>
    <t>00000301</t>
  </si>
  <si>
    <t>Anel de vedação para tubo PVC Ø 100 mm</t>
  </si>
  <si>
    <t>00000337</t>
  </si>
  <si>
    <t xml:space="preserve">Arame recozido </t>
  </si>
  <si>
    <t>00000370</t>
  </si>
  <si>
    <t>Areia média</t>
  </si>
  <si>
    <t>00001379</t>
  </si>
  <si>
    <t>Cimento portland</t>
  </si>
  <si>
    <t>00001970</t>
  </si>
  <si>
    <t>Curva 90° curta PVC rígido com ponta e bolsa com virola Ø 100 mm</t>
  </si>
  <si>
    <t>00001969</t>
  </si>
  <si>
    <t xml:space="preserve">Curva 90° PVC rígido com ponta e bolsa com virola Ø 75 mm </t>
  </si>
  <si>
    <t>00002692</t>
  </si>
  <si>
    <t>Desmoldante para formas</t>
  </si>
  <si>
    <t>Lubrificante para tubo PVC</t>
  </si>
  <si>
    <t>00004430</t>
  </si>
  <si>
    <t>Pontalete de madeira branca 5 x 6 cm</t>
  </si>
  <si>
    <t>00005061</t>
  </si>
  <si>
    <t>Prego 18 x 27</t>
  </si>
  <si>
    <t>Cotação Comercial Goiânia</t>
  </si>
  <si>
    <t xml:space="preserve">Quimikal NPK -120 </t>
  </si>
  <si>
    <t>00004506</t>
  </si>
  <si>
    <t xml:space="preserve">Régua de madeira branca 2,5 x 10 cm </t>
  </si>
  <si>
    <t>00004734</t>
  </si>
  <si>
    <t>Seixo rolado</t>
  </si>
  <si>
    <t>00006189</t>
  </si>
  <si>
    <t>Tábua de madeira branca 2,5 x 30 cm</t>
  </si>
  <si>
    <t>00011656</t>
  </si>
  <si>
    <t xml:space="preserve">Tê 90° curto PVC rígido com ponta e bolsa com virola Ø 100 x 75 mm </t>
  </si>
  <si>
    <t>00007271</t>
  </si>
  <si>
    <t>Tijolo cerâmico 20 x 20 cm</t>
  </si>
  <si>
    <t>00009817</t>
  </si>
  <si>
    <t>Tubo PVC rígido com ponta e bolsa com virola Ø 100 mm</t>
  </si>
  <si>
    <t>00009837</t>
  </si>
  <si>
    <t>Tubo PVC rígido com ponta e bolsa com virola Ø 75 mm</t>
  </si>
  <si>
    <t>Equipamentos</t>
  </si>
  <si>
    <t>Betoneira</t>
  </si>
  <si>
    <t>ht</t>
  </si>
  <si>
    <t>Total Parcial (C)</t>
  </si>
  <si>
    <t>Total do Custo Unitário (A+B+C)</t>
  </si>
  <si>
    <t>Moldura de argamasa (e=2cm/h=10cm), em reboco no traço 1:2:5 - m</t>
  </si>
  <si>
    <t>00010564</t>
  </si>
  <si>
    <t>Madeira de 2ª categoria</t>
  </si>
  <si>
    <t>Areia branca</t>
  </si>
  <si>
    <t xml:space="preserve">Areia lavada tipo média </t>
  </si>
  <si>
    <t>00001106</t>
  </si>
  <si>
    <t>Cal hidratada CH III</t>
  </si>
  <si>
    <t>Cimento portland CP II-E-32</t>
  </si>
  <si>
    <t>00000132</t>
  </si>
  <si>
    <t xml:space="preserve">Aditivo impermeabilizante e plastificante em pó para argamassa </t>
  </si>
  <si>
    <t>Cotação</t>
  </si>
  <si>
    <t>granito verde ubatuba</t>
  </si>
  <si>
    <t>9 - Revestimentos</t>
  </si>
  <si>
    <t>10 - PISOS</t>
  </si>
  <si>
    <t>00010507</t>
  </si>
  <si>
    <t>VIDRO TEMPERADO INCOLOR E=10MM</t>
  </si>
  <si>
    <t>00003104</t>
  </si>
  <si>
    <t>JOGO DE FERRAGENS CROMADAS P/ PORTA DE VIDRO TEMPERADO, UMA FOLHA COMPOSTA: DOBRADICA SUPERIOR (101) E INFERIOR (103),TRINCO (502), FECHADURA (520),CONTRA FECHADURA (531),COM CAPUCHINHO</t>
  </si>
  <si>
    <t>0005031</t>
  </si>
  <si>
    <t>PORTA EM VIDRO TEMPERADO INCOLOR DE ABRIR (FURO E RECORTE) 1 FOLHA E = 10MM</t>
  </si>
  <si>
    <t>Barra de apoio em tubo de aço inox, compr. 80cm, para banheiro de portadores de necessidades especiais - un</t>
  </si>
  <si>
    <t>0004376</t>
  </si>
  <si>
    <t>Bucha plástica para fixação S-8</t>
  </si>
  <si>
    <t>0004382</t>
  </si>
  <si>
    <t xml:space="preserve">Parafuso cromado com cabeça sextavada e  rosca soberba 8 x 80 mm </t>
  </si>
  <si>
    <t>Cotação Total Acessibilidade</t>
  </si>
  <si>
    <t>Barra de apoio em tubo de aço inox, compr. 80cm para banheiro de portadores de necessidades especiais</t>
  </si>
  <si>
    <t>Bancada em granito e=2cm - m²</t>
  </si>
  <si>
    <t>granito verde ubatuba para bancada esp=2cm</t>
  </si>
  <si>
    <t>Fornecimento e instalação de vaso sanitário com assento para portadores de necessidades especiais completo com base de elevação e acessórios - un</t>
  </si>
  <si>
    <t>0002696</t>
  </si>
  <si>
    <t>Bucha plastica 8 mm</t>
  </si>
  <si>
    <t>Parafuso cromado para fixação 2 1/2" x 1/4"</t>
  </si>
  <si>
    <t>00010498</t>
  </si>
  <si>
    <t>Massa para vidro</t>
  </si>
  <si>
    <t>00006138</t>
  </si>
  <si>
    <t>Anel de vedação para saída de vaso sanitário</t>
  </si>
  <si>
    <t>00006140</t>
  </si>
  <si>
    <t>Bolsa de ligação de borracha para vaso sanitário</t>
  </si>
  <si>
    <t>00003520</t>
  </si>
  <si>
    <t>Joelho 90 de PVC para esgoto série normal, seção: 100 mm</t>
  </si>
  <si>
    <t>Cotação Dicasa</t>
  </si>
  <si>
    <t>Vaso sanitário com assento para portadores de necessidades especiais</t>
  </si>
  <si>
    <t>Assento plástico para vaso sanitário de portadores de necessidades especiais</t>
  </si>
  <si>
    <t>Reboco frisado com argamassa de cimento, cal e areia na proporção volumetrica 1:3 espessura 3 cm - m²</t>
  </si>
  <si>
    <t>Fornecimento e instalação de portão de ferro com metalon, sendo uma folha de abrir, dimensões 0,70 x 2,10 m  - und</t>
  </si>
  <si>
    <t>Cotação ML Metalúrgia</t>
  </si>
  <si>
    <t>Grade de proteção ferro retangular</t>
  </si>
  <si>
    <t>BDI</t>
  </si>
  <si>
    <t>7.1 - HIDRÁULICO</t>
  </si>
  <si>
    <t>00002436</t>
  </si>
  <si>
    <t>Eletricista</t>
  </si>
  <si>
    <t>00006113</t>
  </si>
  <si>
    <t>Ajudante de eletricista</t>
  </si>
  <si>
    <t>00020110</t>
  </si>
  <si>
    <t>Fita isolante</t>
  </si>
  <si>
    <t>luminária de embutir  p/ halogena dicróica 50 w - un</t>
  </si>
  <si>
    <t>Luminária modelo BL 112 G em alumínio, com vidro temperado, moldura com aro de alumínio injetado com anel de silicone e pintura eletrotástica</t>
  </si>
  <si>
    <t>Lâmpada PAR 30- 50W /220V</t>
  </si>
  <si>
    <t>Quadro de medição Rede Celpa com caixa de embutir para um medidor polifásico - un</t>
  </si>
  <si>
    <t>Quadro de medição Rede Celpa com caixa de embutir para um medidor polifásico</t>
  </si>
  <si>
    <t>Fornecimento e instalação de luva PVC redução soldável com rosca Ø 32 mm x 25mm - un</t>
  </si>
  <si>
    <t>Luva PVC redução soldável com rosca Ø 32 mm x 25mm</t>
  </si>
  <si>
    <t>0003869</t>
  </si>
  <si>
    <t>Fornecimento e instalação de caixa hermeticamente fechada 150 x 150 x 50 - un</t>
  </si>
  <si>
    <t>00011713</t>
  </si>
  <si>
    <t>Caixa sifonada PVC Ø 150 x 150 x 50 mm com tampa cega quadrada branca</t>
  </si>
  <si>
    <t>Fossa/filtro/sumidouro em alvenaria cerâmica e concreto estrutural, dimensões 435x230x 190cm  - un</t>
  </si>
  <si>
    <t>00000031</t>
  </si>
  <si>
    <t>10531</t>
  </si>
  <si>
    <t>Instalação provisória de água - vb</t>
  </si>
  <si>
    <t>Total do Custo Unitário (A)</t>
  </si>
  <si>
    <t>Torneira uso geral Ø 3/4'</t>
  </si>
  <si>
    <t>Tubo de PVC soldável Ø 3/4"</t>
  </si>
  <si>
    <t>Colar de tomada de PVC Ø 3/4"</t>
  </si>
  <si>
    <t>Joelho 90º PVC marrom soldável Ø 25 mm</t>
  </si>
  <si>
    <t>Total do Custo Unitário (B)</t>
  </si>
  <si>
    <t xml:space="preserve">1 - Serviços Preliminares </t>
  </si>
  <si>
    <t>Fornecimento e instalação de  de pendente BL7000 - un</t>
  </si>
  <si>
    <t xml:space="preserve"> Pendente BL7000</t>
  </si>
  <si>
    <t>Reator 160 w, vapor metálico</t>
  </si>
  <si>
    <t>Lâmpada de vapor metálico 160w</t>
  </si>
  <si>
    <t>Fornecimento e instalação de  joelho de 90 º soldavel com bucha de latão 25 mm x 1/2"- un</t>
  </si>
  <si>
    <t xml:space="preserve"> joelho de 90 º soldavel com bucha de latão 25 mm x 1/2"</t>
  </si>
  <si>
    <t>Fornecimento e instalação de Tê soldavel com bucha de latão central 25mm-1/2" - un</t>
  </si>
  <si>
    <t>fita veda rosca</t>
  </si>
  <si>
    <t>Caixa d'água fibra de vidro cap. 2000 L  - un.</t>
  </si>
  <si>
    <t>Massa para virdro comum</t>
  </si>
  <si>
    <t>Kg</t>
  </si>
  <si>
    <t>Reservatório de água fibra de vidro cap. 2000 L</t>
  </si>
  <si>
    <t>un.</t>
  </si>
  <si>
    <t>Fornecimento e instalação de curva 45° PVC marrom soldável Ø 150 mm - un</t>
  </si>
  <si>
    <t>curva 45° PVC marrom soldável Ø 150mm</t>
  </si>
  <si>
    <t>anel de borracha para tubo PVC para esgoto série normal</t>
  </si>
  <si>
    <t>Lubrificante  para tubo PVC</t>
  </si>
  <si>
    <t>8 - Drenagem</t>
  </si>
  <si>
    <t xml:space="preserve"> vidro 10 mm temperado (120X110) - m²</t>
  </si>
  <si>
    <t>Vidraceiro</t>
  </si>
  <si>
    <t>15 - PAINEIS DE VIDRO</t>
  </si>
  <si>
    <t>00011831</t>
  </si>
  <si>
    <t>00009869</t>
  </si>
  <si>
    <t>00001423</t>
  </si>
  <si>
    <t>00003482</t>
  </si>
  <si>
    <t>Comercial Goiânia</t>
  </si>
  <si>
    <t>00012216</t>
  </si>
  <si>
    <t>00020147</t>
  </si>
  <si>
    <t xml:space="preserve"> tê soldável de redução 25mm-1/2"</t>
  </si>
  <si>
    <t>00007137</t>
  </si>
  <si>
    <t>00020101</t>
  </si>
  <si>
    <t>00000318</t>
  </si>
  <si>
    <t>00010489</t>
  </si>
  <si>
    <t>Fornecimento e instalação de painéis de madeira - m²</t>
  </si>
  <si>
    <t>Bucha nylon s-12 c/ parafuso aço zincado cabeça sextavada rosca soberba 5/16" X 65mm</t>
  </si>
  <si>
    <t>00006127</t>
  </si>
  <si>
    <t>00006206</t>
  </si>
  <si>
    <t>Madeira de lei não aparelhada</t>
  </si>
  <si>
    <t>00007584</t>
  </si>
  <si>
    <t>Fornecimento e instalação de letras p/ o letreiro - un</t>
  </si>
  <si>
    <t>Letras metálicas</t>
  </si>
  <si>
    <t>Fornecimento e instalação de vaso de concreto  - un</t>
  </si>
  <si>
    <t xml:space="preserve">Vaso de concreto </t>
  </si>
  <si>
    <t>10507</t>
  </si>
  <si>
    <t>TOTAL DO ITEM 4</t>
  </si>
  <si>
    <t>TOTAL DO ITEM 1</t>
  </si>
  <si>
    <t>Fornecimento, lançamento e aplicação de concreto armado fck 15 Mpa, com Aço CA 50 incluindo forma e desforma - m³</t>
  </si>
  <si>
    <t>Concreto armado fck 15 Mpa, com Aço CA 50 incluindo forma e desforma</t>
  </si>
  <si>
    <t>Fornecimento e assentamento de soleira em granito verde ubatuba</t>
  </si>
  <si>
    <r>
      <t xml:space="preserve">Fornecimento e instalação de janela de vidro temperado fumê (e=10mm) com duas folhas de correr </t>
    </r>
    <r>
      <rPr>
        <b/>
        <sz val="12"/>
        <rFont val="Calibri"/>
        <family val="2"/>
      </rPr>
      <t>(dim. 200 x 170 cm) - m²</t>
    </r>
  </si>
  <si>
    <t>Fornecimento e instalação de balancim de vidro temperado incolor (e = 10 mm), tipo basculante, com três folhas, dimensões 200 x 80 cm - un</t>
  </si>
  <si>
    <t>581</t>
  </si>
  <si>
    <t>basculante de alumínio</t>
  </si>
  <si>
    <t xml:space="preserve">Fornecimento e Instalação de porta de vidro temperado incolor (e = 10 mm), com quatro folhas, sendo duas fixas e duas de correr, dimensões 400 x 210 cm </t>
  </si>
  <si>
    <t>16.1</t>
  </si>
  <si>
    <t>16.2</t>
  </si>
  <si>
    <t>Tanque de aço inox, inclusive metais e acessórios - un</t>
  </si>
  <si>
    <t>00006156</t>
  </si>
  <si>
    <t>Válvula americana tanque 1.1/2 x 3.3/4</t>
  </si>
  <si>
    <t>00020262</t>
  </si>
  <si>
    <t>Sifão copo de PVC cromado 1.1'/2" x 40 mm</t>
  </si>
  <si>
    <t>00011688</t>
  </si>
  <si>
    <t>Tanque de aço inox duplo</t>
  </si>
  <si>
    <t>00020251</t>
  </si>
  <si>
    <t>Torneira cromada</t>
  </si>
  <si>
    <t>Cuba de louça branca - un</t>
  </si>
  <si>
    <t>Cuba de louça branca</t>
  </si>
  <si>
    <t>20269</t>
  </si>
  <si>
    <t>Fornecimento e instalação de junção simples 100 x 50 mm</t>
  </si>
  <si>
    <t>3659</t>
  </si>
  <si>
    <t>Fornecimento e instalação de junção simples 50 x 50 mm</t>
  </si>
  <si>
    <t>Junção simples 100 x 50 mm</t>
  </si>
  <si>
    <t>Junção simples 50 x 50 mm</t>
  </si>
  <si>
    <t>3662</t>
  </si>
  <si>
    <t>Tê 45° curto PVC rígido com ponta e bolsa Ø 40 mm - un</t>
  </si>
  <si>
    <t>0007116</t>
  </si>
  <si>
    <t>Tê 45° curto PVC  Ø 40 mm</t>
  </si>
  <si>
    <t>Fornecimento e instalação de fita isolante autofusão 20m - Um</t>
  </si>
  <si>
    <t>00000404</t>
  </si>
  <si>
    <t>FITA ISOLANTE AUTO-FUSAO BT REF 3M OU SIMILAR</t>
  </si>
  <si>
    <t>Fornecimento, lançamento e ligação de cabo unipolar de cobre isolante PVC 450 / 750V - 2,5 mm² - na cor azul claro</t>
  </si>
  <si>
    <t>Fornecimento, lançamento e ligação de cabo unipolar de cobre isolante PVC 450 / 750V - 2,5 mm² - na cor preto</t>
  </si>
  <si>
    <t>Fornecimento, lançamento e ligação de cabo unipolar de cobre isolante PVC 450 / 750V - 2,5 mm² - na cor verde-amarelo</t>
  </si>
  <si>
    <t>Preço local</t>
  </si>
  <si>
    <t>Quadro de distribuição plástico, de embutir, barramento monofásico, padrão DIN (Ref. Hager), capacidade 8 disjuntores unipolares</t>
  </si>
  <si>
    <t>Quadro de distribuição plástico, capacidade 8 disjuntores unipolares</t>
  </si>
  <si>
    <t xml:space="preserve">Fornecimento e instalação de eletroduto PVC roscável, vara 3m  Ø 3/4" m </t>
  </si>
  <si>
    <t>Eletroduto de PVC roscável Ø 3/4"</t>
  </si>
  <si>
    <t>Fornecimento e instalação de luminária arandela de sobrepor, para parede, completa, inclusive soquete de base E27 tartaruga - para lâmpada compacta com reator integrado 20 W</t>
  </si>
  <si>
    <t>Luminária de embutir para piso</t>
  </si>
  <si>
    <t>internet</t>
  </si>
  <si>
    <t>luminária de embutir para piso PAR 20</t>
  </si>
  <si>
    <t>Lâmpada halógena dicróica 50W</t>
  </si>
  <si>
    <t>12296</t>
  </si>
  <si>
    <t>soquete E27</t>
  </si>
  <si>
    <t>Fornecimento e instalação de luminária de sobrepor pendente p/ lâmpada incandescente de 40 W, completa</t>
  </si>
  <si>
    <t>luminária de sobrepor para lâmpada incandescente</t>
  </si>
  <si>
    <t>Lâmpada incandescente 40 W</t>
  </si>
  <si>
    <t>00012227</t>
  </si>
  <si>
    <t>luminária arandela</t>
  </si>
  <si>
    <t>00003753</t>
  </si>
  <si>
    <t>Lâmpada compacta fluorescente 20W</t>
  </si>
  <si>
    <t>00001074</t>
  </si>
  <si>
    <t xml:space="preserve">reator eletromagnético para lampada fluorescente compacta </t>
  </si>
  <si>
    <t>Plafon sobrepor quadrado</t>
  </si>
  <si>
    <t>plafon sobrepor quadrado duplo</t>
  </si>
  <si>
    <t>TOTAL DO ITEM 6</t>
  </si>
  <si>
    <t>Adaptador soldável curto com bolsa e rosca para registro Ø 32 mm x 1" - un</t>
  </si>
  <si>
    <t xml:space="preserve">Adaptador soldável curto com bolsa e rosca para registro Ø 32 mm x 1" </t>
  </si>
  <si>
    <t>108</t>
  </si>
  <si>
    <t>Adaptador soldável curto com bolsa e rosca para registro Ø 60 mm x 2" - un</t>
  </si>
  <si>
    <t xml:space="preserve">Adaptador soldável curto com bolsa e rosca para registro Ø 60mm x 2" </t>
  </si>
  <si>
    <t>113</t>
  </si>
  <si>
    <t>Fornecimento e instalação de papeleira - un</t>
  </si>
  <si>
    <t>papelira de louça</t>
  </si>
  <si>
    <t>4382</t>
  </si>
  <si>
    <t>Fornecimento e instalação de joelho com anel para esgoto 40 mm - 1.1/2''</t>
  </si>
  <si>
    <t>10835</t>
  </si>
  <si>
    <t>Joelho com anel 40 mm - 1.1/2''</t>
  </si>
  <si>
    <t>redução excêntrica de PVC 75 x 50 mm</t>
  </si>
  <si>
    <t>20042</t>
  </si>
  <si>
    <t>Fornecimento e instalação de tê 90º de inspeção Ø 100 mm x 75 mm - un</t>
  </si>
  <si>
    <t>7105</t>
  </si>
  <si>
    <t>Fornecimento e instalação de bucha de redução soldável curta Ø 32 x 25 mm - un</t>
  </si>
  <si>
    <t>829</t>
  </si>
  <si>
    <t>Fornecimento e instalação de bucha de redução soldável curta Ø 40 x 32 mm - un</t>
  </si>
  <si>
    <t>bucha de redução soldável curta Ø 40 x 32 mm</t>
  </si>
  <si>
    <t>bucha de redução soldável curta Ø 32 x 25 mm</t>
  </si>
  <si>
    <t>Comercial Goiânia pág.11</t>
  </si>
  <si>
    <t>Fornecimento e instalação de bucha de redução soldável curta Ø 60 x 50 mm - un</t>
  </si>
  <si>
    <t>bucha de redução soldável curta Ø 60 x 50 mm</t>
  </si>
  <si>
    <t>818</t>
  </si>
  <si>
    <t>Fornecimento e instalação de bucha de redução soldável longa Ø 32 x 20 mm - un</t>
  </si>
  <si>
    <t>bucha de redução soldável longa Ø 32 x 20 mm</t>
  </si>
  <si>
    <t>832</t>
  </si>
  <si>
    <t>bucha de redução soldável longa Ø 40 x 25 mm</t>
  </si>
  <si>
    <t>834</t>
  </si>
  <si>
    <t>Fornecimento e instalação de bucha de redução soldável longa Ø 40 x 25 mm - un</t>
  </si>
  <si>
    <t>Fornecimento e instalação de bucha de redução soldável longa Ø 60 x 32 mm - un</t>
  </si>
  <si>
    <t>bucha de redução soldável longa Ø 60 x 32 mm</t>
  </si>
  <si>
    <t>814</t>
  </si>
  <si>
    <t>Fornecimento e instalação de bucha de redução soldável longa Ø 60 x 40 mm - un</t>
  </si>
  <si>
    <t>bucha de redução soldável longa Ø 60 x 40 mm</t>
  </si>
  <si>
    <t>815</t>
  </si>
  <si>
    <t>Fornecimento e instalação de tubo PVC diam. 200 mm - un</t>
  </si>
  <si>
    <t>Comercial Goiânia pág.87</t>
  </si>
  <si>
    <t>Tubo de PVC diam. 200 mm</t>
  </si>
  <si>
    <t>00003263</t>
  </si>
  <si>
    <t>Flange com sextavado de ferro maleável galvanizado para líquido, gases e vapores (D=3/4")</t>
  </si>
  <si>
    <t>00003264</t>
  </si>
  <si>
    <t>Flange com sextavado de ferro maleável galvanizado para líquido, gases e vapores (D=1")</t>
  </si>
  <si>
    <t>Fornecimento e instalação de porta em madeira compensada lisa, com barra de apoio, sendo 01 folha de abrir (dim. 90x210cm)</t>
  </si>
  <si>
    <t xml:space="preserve">Prego 16 x 24 </t>
  </si>
  <si>
    <t>Porta de madeira compensada lisa revestida com fórmica</t>
  </si>
  <si>
    <t>barras de apoio em tubo de aço inox Ø 1.1/2" acabamento cromado</t>
  </si>
  <si>
    <t xml:space="preserve">Batente de madeira de lei </t>
  </si>
  <si>
    <t>Guarnição madeira de lei 5 cm</t>
  </si>
  <si>
    <t>Dobradiça de ferro para porta # 3.1/2" x 2.1/2"</t>
  </si>
  <si>
    <t xml:space="preserve">Fechadura completa para porta </t>
  </si>
  <si>
    <t>00027399</t>
  </si>
  <si>
    <t>Placa de inauguração em metal amarelo, dimensões 40cm de largura e 60cm de altura - un</t>
  </si>
  <si>
    <t>0006111</t>
  </si>
  <si>
    <t>00010848</t>
  </si>
  <si>
    <t xml:space="preserve"> vidro 10mm temperado incolor, incluindo acessórios</t>
  </si>
  <si>
    <t>Jogo de ferragen para janela de correr</t>
  </si>
  <si>
    <t>20243</t>
  </si>
  <si>
    <t>jg</t>
  </si>
  <si>
    <t>Tapume de telha fibrocimento ondulada (4mm) - Pintura a cal H=2,20m</t>
  </si>
  <si>
    <t>Total parcial (A)</t>
  </si>
  <si>
    <t>Telha Brasilit ondulada 4mm 2,44x0,50m</t>
  </si>
  <si>
    <t xml:space="preserve">Prego 18x27 </t>
  </si>
  <si>
    <t>Caibro 3ª construção 5x6cm</t>
  </si>
  <si>
    <t>Total parcial (B)</t>
  </si>
  <si>
    <t>BDI=27,84%</t>
  </si>
  <si>
    <t>4.4</t>
  </si>
  <si>
    <t>Fornecimento, lançamento e ligação de cabo unipolar de cobre isolante PVC 0,6 / 1 KV - 16 mm² - na cor azul claro</t>
  </si>
  <si>
    <t>Fornecimento, lançamento e ligação de cabo unipolar de cobre isolante PVC 0,6 / 1 KV - 16 mm² - na cor preto</t>
  </si>
  <si>
    <t>COTAÇÃO</t>
  </si>
  <si>
    <t>Valor Unitário</t>
  </si>
  <si>
    <t>91926</t>
  </si>
  <si>
    <t>88489</t>
  </si>
  <si>
    <t>Placa de inauguração de obra em metal 40x60cm - unidade</t>
  </si>
  <si>
    <t>PLACA DE INAUGURACAO METALICA, *40* CM X *60* CM</t>
  </si>
  <si>
    <t>Instalação provisória de luz e força para obra - unidade</t>
  </si>
  <si>
    <t>CÓDIGO SINAP/SEOP</t>
  </si>
  <si>
    <t>CABO DE COBRE, FLEXIVEL, CLASSE 4 OU 5, ISOLACAO EM PVC/A, ANTICHAMA BWF-B,COBERTURA PVC-ST1, ANTICHAMA BWF-B, 1 CONDUTOR, 0,6/1 KV, SECAO NOMINAL 6 MM2</t>
  </si>
  <si>
    <t>Caixa polifásica padrão Celpa</t>
  </si>
  <si>
    <t>UN</t>
  </si>
  <si>
    <t>und</t>
  </si>
  <si>
    <t>SEDOP 180513</t>
  </si>
  <si>
    <t>SEDOP 050259</t>
  </si>
  <si>
    <t>SECRETARIA MUNICIPAL DE OBRAS, SERVIÇOS URBANOS E HABITAÇÃO</t>
  </si>
  <si>
    <t>994</t>
  </si>
  <si>
    <t>SEDOP 170882</t>
  </si>
  <si>
    <t>SEDOP 091514</t>
  </si>
  <si>
    <t>SEDOP 050035</t>
  </si>
  <si>
    <t>Forma de madeira compensada</t>
  </si>
  <si>
    <t>Concreto 20 Mpa</t>
  </si>
  <si>
    <t>Fornecimento e instalação de luminárias de emergência 30 Leds</t>
  </si>
  <si>
    <t>Fornecimento e instalação de placas de sinalização contra incêndio e pânico - Conjunto</t>
  </si>
  <si>
    <t>Placa de sinalização para extintores fotoluminescente com adesivo dupla face</t>
  </si>
  <si>
    <t>Placa de sinalização para saída de emergência fotoluminescente com adesivo dupla face</t>
  </si>
  <si>
    <t>Placa de sinalização para orientação e sentido fotoluminescente com adesivo dupla face</t>
  </si>
  <si>
    <t>Placa de sinalização para risco de choque eletrico  fotoluminescente com adesivo dupla face</t>
  </si>
  <si>
    <t>Reprogramação abril 2018</t>
  </si>
  <si>
    <t xml:space="preserve">CRONOGRAMA FÍSICO-FINANCEIRO </t>
  </si>
  <si>
    <t>ITEM</t>
  </si>
  <si>
    <t>1º Mês</t>
  </si>
  <si>
    <t>2º Mês</t>
  </si>
  <si>
    <t>3º Mês</t>
  </si>
  <si>
    <t>4º Mês</t>
  </si>
  <si>
    <t>5º Mês</t>
  </si>
  <si>
    <t>% da Obra</t>
  </si>
  <si>
    <t xml:space="preserve">Mobilização </t>
  </si>
  <si>
    <t>DESCRIÇÃO DOS SERVIÇOS</t>
  </si>
  <si>
    <t>R$</t>
  </si>
  <si>
    <t>Semanas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</si>
  <si>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</si>
  <si>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</si>
  <si>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</si>
  <si>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</si>
  <si>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</si>
  <si>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</si>
  <si>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</si>
  <si>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</si>
  <si>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</si>
  <si>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</si>
  <si>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</si>
  <si>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</si>
  <si>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</si>
  <si>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</si>
  <si>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</si>
  <si>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</si>
  <si>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</si>
  <si>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</si>
  <si>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</si>
  <si>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20ª</t>
  </si>
  <si>
    <t xml:space="preserve"> VALOR  DO CRONOGRAMA R$ </t>
  </si>
  <si>
    <t>PERCENTUAL MENSAL</t>
  </si>
  <si>
    <t>2.1</t>
  </si>
  <si>
    <t>TOTAL DO ITEM 2</t>
  </si>
  <si>
    <t>3.1</t>
  </si>
  <si>
    <t>7.3</t>
  </si>
  <si>
    <t>TOTAL DO ITEM 7</t>
  </si>
  <si>
    <t>9.5</t>
  </si>
  <si>
    <t>SEDOP 171110</t>
  </si>
  <si>
    <t>Fornecimento e instalação de conector para haste de aterramento de 5/8"</t>
  </si>
  <si>
    <t>93660</t>
  </si>
  <si>
    <t>93653</t>
  </si>
  <si>
    <t>SEDOP 140348</t>
  </si>
  <si>
    <t xml:space="preserve">Fornecimento e aplicação de argamassa de cimento, cal e areia na proporção volumétrica 1:2:5 para reboco </t>
  </si>
  <si>
    <t>SEDOP 090822</t>
  </si>
  <si>
    <t>Fornecimento e instalação de grade de ferro em metalom, inclusive pintura anticorrosiva</t>
  </si>
  <si>
    <t>TOTAL DO ITEM 3</t>
  </si>
  <si>
    <t>SEDOP 141336</t>
  </si>
  <si>
    <t>SEDOP 040257</t>
  </si>
  <si>
    <t>BDI: 28,82%</t>
  </si>
  <si>
    <t>SEDOP 011340</t>
  </si>
  <si>
    <t>SEDOP 090825</t>
  </si>
  <si>
    <t>Fornecimento e instalação de caixa de passagem - 40 x 40 cm com tampa em concreto armado</t>
  </si>
  <si>
    <t>Fornecimento, preparo e lançamento de concreto magro para regularização e lastro fck 10 Mpa</t>
  </si>
  <si>
    <t>SEDOP 180680</t>
  </si>
  <si>
    <t>88264</t>
  </si>
  <si>
    <t>ELETRICISTA COM ENCARGOS COMPLEMENTARES</t>
  </si>
  <si>
    <t>88247</t>
  </si>
  <si>
    <t>AUXILIAR DE ELETRICISTA COM ENCARGOS COMPLEMENTARES</t>
  </si>
  <si>
    <t>PEDREIRO COM ENCARGOS COMPLEMENTARES</t>
  </si>
  <si>
    <t>88309</t>
  </si>
  <si>
    <t>88267</t>
  </si>
  <si>
    <t>ENCANADOR OU BOMBEIRO HIDRÁULICO COM ENCARGOS COMPLEMENTARES</t>
  </si>
  <si>
    <t>88248</t>
  </si>
  <si>
    <t>AUXILIAR DE ENCANADOR OU BOMBEIRO HIDRÁULICO COM ENCARGOS COMPLEMENTARES</t>
  </si>
  <si>
    <t>CARPINTEIRO DE ESQUADRIA COM ENCARGOS COMPLEMENTARES</t>
  </si>
  <si>
    <t>88316</t>
  </si>
  <si>
    <t>SERVENTE COM ENCARGOS COMPLEMENTARES</t>
  </si>
  <si>
    <t>SEDOP 270220</t>
  </si>
  <si>
    <t>Execução de limpeza geral e entrega da obra</t>
  </si>
  <si>
    <t>98524</t>
  </si>
  <si>
    <t>Limpeza manual de vegetação em terreno com enxada</t>
  </si>
  <si>
    <t>3.2</t>
  </si>
  <si>
    <t>Fornecimento e instalação de cumeeira em fibrocimento, inclusive juntas e acessórios</t>
  </si>
  <si>
    <t>101879</t>
  </si>
  <si>
    <t>Fornecimento e instalação de tubo PVC rígido soldável marrom - Ø 40 mm</t>
  </si>
  <si>
    <t>89448</t>
  </si>
  <si>
    <t>Moldura de argamassa (e = 2 cm/ h = 10 cm)</t>
  </si>
  <si>
    <t>66,31 é pra retirar (circ. Lado esq. E salas onde não tem mais telha e está podre)</t>
  </si>
  <si>
    <t>Fornecimento e instalação de barroteamento em madeira de lei para forro PVC</t>
  </si>
  <si>
    <t>SEDOP 050035 + 050037</t>
  </si>
  <si>
    <t>Fornecimento de forma de madeira para concreto em infra-estrutura, inclusive desforma</t>
  </si>
  <si>
    <t>2.2</t>
  </si>
  <si>
    <t>Fornecimento e execução de alvenaria em tijolo cerâmico furado 9 x 19 x 19 cm, assentado em argamassa de traço 1:4 (cimento e areia), posição a cutelo</t>
  </si>
  <si>
    <t xml:space="preserve">Fornecimento e aplicação de argamassa de cimento e areia na proporção volumétrica 1:3 para chapisco </t>
  </si>
  <si>
    <t>SEDOP 201507</t>
  </si>
  <si>
    <t xml:space="preserve">Fornecimento e instalação de extintor de incêndio Pó ABC de 6kg </t>
  </si>
  <si>
    <t>ENCARGOS SOCIAIS DESONERADOS: 86,90%(HORA) 47,89%(MÊS)</t>
  </si>
  <si>
    <t>POSTE GALV. P/PADRAO 5MT MON/BIF P/02 CX MONTADA</t>
  </si>
  <si>
    <t>PEÇA DE MADEIRA NATIVA/REGIONAL 2,5 X 7,0 CM (SARRAFO-P/FORMA)</t>
  </si>
  <si>
    <t>00037556</t>
  </si>
  <si>
    <t>00037558</t>
  </si>
  <si>
    <t>00037560</t>
  </si>
  <si>
    <t xml:space="preserve">FECHADURA DE EMBUTIR PARA PORTA EXTERNA / ENTRADA, MAQUINA 40 MM, COMPLETA </t>
  </si>
  <si>
    <t>PORTA DE MADEIRA-DE-LEI TIPO MEXICANA SEM EMENDA (ANGELIM OU EQUIVALENTE REGIONAL), E = *3,5* CM</t>
  </si>
  <si>
    <t>M</t>
  </si>
  <si>
    <t>Serviços</t>
  </si>
  <si>
    <t>COMPOSIÇÕES DE PREÇOS UNITÁRIOS</t>
  </si>
  <si>
    <t>Alvenaria de embasamento, incluso escavação, lastro, aterro apiloado e reboco para calçadas de proteção e rampas - m²</t>
  </si>
  <si>
    <t>14 - SISTEMA DE COMBATE A INCÊNDIO</t>
  </si>
  <si>
    <t>M3</t>
  </si>
  <si>
    <t>96995</t>
  </si>
  <si>
    <t>REATERRO MANUAL APILOADO COM SOQUETE. AF_10/2017</t>
  </si>
  <si>
    <t>95240</t>
  </si>
  <si>
    <t>LASTRO DE CONCRETO MAGRO, APLICADO EM PISOS OU RADIERS, ESPESSURA DE 3 CM. AF_07/2016</t>
  </si>
  <si>
    <t>M2</t>
  </si>
  <si>
    <t>0,0093000</t>
  </si>
  <si>
    <t>93358</t>
  </si>
  <si>
    <t>ESCAVAÇÃO MANUAL DE VALA COM PROFUNDIDADE MENOR OU IGUAL A 1,30 M. AF_03/2016</t>
  </si>
  <si>
    <t>0,0404000</t>
  </si>
  <si>
    <t>Alvenaria tijolo de barro a singelo</t>
  </si>
  <si>
    <t>SEDOP 060045</t>
  </si>
  <si>
    <t xml:space="preserve">Alvenaria de embasamento (tijolo a singelo), incluso escavação, lastro, aterro apiloado e reboco para calçadas de proteção e rampas </t>
  </si>
  <si>
    <t>H</t>
  </si>
  <si>
    <t>6º Mês</t>
  </si>
  <si>
    <t>PERÍODO DE EXECUÇÃO</t>
  </si>
  <si>
    <t>Fornecimento e aplicação de pintura em piso cimentado, duas demãos (calçadas e rampas), cor cinza chumbo</t>
  </si>
  <si>
    <t>Fornecimento e colocação de placa de inauguração da obra em alumínio, dimensões 40 x 60 cm</t>
  </si>
  <si>
    <r>
      <t xml:space="preserve">Fornecimento e instalação </t>
    </r>
    <r>
      <rPr>
        <sz val="11"/>
        <color indexed="10"/>
        <rFont val="Calibri"/>
        <family val="2"/>
        <scheme val="minor"/>
      </rPr>
      <t>de interruptor simples - 1 tecla</t>
    </r>
  </si>
  <si>
    <r>
      <t xml:space="preserve">Fornecimento e instalação de tubo de PVC </t>
    </r>
    <r>
      <rPr>
        <sz val="11"/>
        <color indexed="8"/>
        <rFont val="Calibri"/>
        <family val="2"/>
        <scheme val="minor"/>
      </rPr>
      <t>Ø 150 mm</t>
    </r>
  </si>
  <si>
    <r>
      <t xml:space="preserve">Fornecimento e instalação de joelho 45° </t>
    </r>
    <r>
      <rPr>
        <sz val="11"/>
        <color indexed="8"/>
        <rFont val="Calibri"/>
        <family val="2"/>
        <scheme val="minor"/>
      </rPr>
      <t>Ø 100 mm</t>
    </r>
  </si>
  <si>
    <t>Preço (R$)                Valor unit. + BDI</t>
  </si>
  <si>
    <t>OK</t>
  </si>
  <si>
    <t>Fornecimento e assentamento de vedação com  elemento vazado de concreto (cobogó) de 7x50x50 cm e argamassa de assentamento com preparo em betoneira</t>
  </si>
  <si>
    <t>unid.</t>
  </si>
  <si>
    <t>20 A</t>
  </si>
  <si>
    <t>Fornecimento e instalação de tomada hexagonal 2P+T - 20 A</t>
  </si>
  <si>
    <t>SEDOP 170693</t>
  </si>
  <si>
    <t>Subestação aérea c/ transformador 75 KVA (incl.poste, acessórios e cabine de medição)</t>
  </si>
  <si>
    <t>Piso de alta resistência e=8mm c/ resina incl. camada regularizadora</t>
  </si>
  <si>
    <t>SEDOP 130626</t>
  </si>
  <si>
    <t>SEDOP 120688</t>
  </si>
  <si>
    <t>Rodapé de alta resistência (incl. polimento)</t>
  </si>
  <si>
    <t>sedop 120733</t>
  </si>
  <si>
    <t>Fornecimento e instalação de peitoril em granito verde ubatuba, (l=19 cm),  com rebaixo, e=3 cm</t>
  </si>
  <si>
    <t>SEDOP 120733</t>
  </si>
  <si>
    <t>Fornecimento e aplicação manual de fundo selador acrílico em paredes internas, uma demão</t>
  </si>
  <si>
    <t>Fornecimento e aplicação manual de fundo selador acrílico em paredes externas, uma demão</t>
  </si>
  <si>
    <t xml:space="preserve">Fornecimento e aplicação de pintura látex acrílica semi-brilho em paredes internas, duas demãos, na cor branco gelo </t>
  </si>
  <si>
    <t>Fornecimento e aplicação de pintura látex acrílica semi-brilho em paredes externas, duas demãos, na cor azul oceano</t>
  </si>
  <si>
    <t>Aplicação e fornecimento de pintura esmalte sintético acetinado para madeira, duas demãos, sobre fundo nivelador branco, na cor branco neve</t>
  </si>
  <si>
    <t>Aplicação de pintura esmalte sintético acetinado para grades e portões, duas demãos, na cor branco neve</t>
  </si>
  <si>
    <t>100741</t>
  </si>
  <si>
    <t>Impermeabilização de fundação com  emulsão asfáltica, duas demãos</t>
  </si>
  <si>
    <t>Fornecimento e instalação de cobertura de telha ondulada de fibrocimento, e = 6 mm</t>
  </si>
  <si>
    <t>SEDOP 231311</t>
  </si>
  <si>
    <t>Fornecimento e instalação de Aparelho Air-Split - 24.000 BTU's - Inverter, completa, inclusive suporte de fixação, tubo de cobre flexível, tubo de espuma, fita adesiva e gás refrigerante</t>
  </si>
  <si>
    <t>FORNECIMENTO E INSTALAÇÃO DE TUBOS DE PVC, SÉRIE R, ÁGUA PLUVIAL, DN 150 MM (INSTALADO EM CONDUTORES VERTICAIS), INCLUSIVE CONEXÕES, CORTES E FIXAÇÕES, PARA PRÉDIOS.</t>
  </si>
  <si>
    <t>99059</t>
  </si>
  <si>
    <t>Locação convencional de obra, utilizando gabarito de tábuas corridas</t>
  </si>
  <si>
    <t>Execução  de ponto de dreno para split (até 10 m de comprimento), incluso conexões e tubos em PVC  de 40 mm</t>
  </si>
  <si>
    <t>Pt</t>
  </si>
  <si>
    <t>CALHA DE BEIRAL, SEMICIRCULAR DE PVC, DIAMETRO 150 MM, INCLUINDO CABECEIRAS, EMENDAS, BOCAIS, SUPORTES E VEDAÇÕES, EXCLUINDO CONDUTORES, INCLUSO TRANSPORTE VERTICAL</t>
  </si>
  <si>
    <t>Emassamento  e lixamento de massa acrílica em paredes internas e externas, duas demãos</t>
  </si>
  <si>
    <t>9.1</t>
  </si>
  <si>
    <t>9.3</t>
  </si>
  <si>
    <t>9.4</t>
  </si>
  <si>
    <t>SEDOP 091500</t>
  </si>
  <si>
    <t>Fornecimento e instalação de portão de ferro em metalom, de correr, nas dimensões 1,40 x 2,20 m (02 unidades), inclusive pintura anticorrosiva</t>
  </si>
  <si>
    <t>Fornecimento e instalação de portão de ferro em chapa de aço e grade, duas folhas de abrir, nas dimensões 2,00 x 2,50 m (01 unidade), inclusive ferragens e pintura anticorrosiva</t>
  </si>
  <si>
    <t>Fornecimento e instalação de janela de vidro temperado incolor (e =10 mm), com quatro folhas, sendo duas fixas e duas de correr, dimensões 200 x 110 cm - 1 unidade</t>
  </si>
  <si>
    <t>nível da calçada 15 cm</t>
  </si>
  <si>
    <t>2,1450000</t>
  </si>
  <si>
    <t>1,0730000</t>
  </si>
  <si>
    <t>1,0000000</t>
  </si>
  <si>
    <t>ALIZAR DE 5X1,5CM PARA PORTA FIXADO COM PREGOS, PADRÃO MÉDIO - FORNECIMENTO E INSTALAÇÃO. AF_12/2019</t>
  </si>
  <si>
    <t>2432</t>
  </si>
  <si>
    <t>DOBRADICA EM ACO/FERRO, 3 1/2" X  3", E= 1,9  A 2 MM, COM ANEL,  CROMADO OU ZINCADO, TAMPA BOLA, COM PARAFUSOS</t>
  </si>
  <si>
    <t>3,0000000</t>
  </si>
  <si>
    <t>11055</t>
  </si>
  <si>
    <t>PARAFUSO ROSCA SOBERBA ZINCADO CABECA CHATA FENDA SIMPLES 3,5 X 25 MM (1 ")</t>
  </si>
  <si>
    <t>19,8000000</t>
  </si>
  <si>
    <t>90806 (composição)</t>
  </si>
  <si>
    <t>91304 (composição)</t>
  </si>
  <si>
    <t>100659 (composição)</t>
  </si>
  <si>
    <t>BATENTE PARA PORTA DE MADEIRA, FIXAÇÃO COM ARGAMASSA,  EM MADEIRA DE LEI, PADRÃO MÉDIO - FORNECIMENTO E INSTALAÇÃO. AF_12/2019_P</t>
  </si>
  <si>
    <t xml:space="preserve">Fornecimento e instalação de porta em madeira de lei tipo mexicana, pintada com esmalte sintético acetinado na cor branco neve, duas demãos, sobre fundo nivelador, sendo uma folha de abrir, dimensões 90 x 210 cm, inclusive fechadura, dobradiças, portal e alizar com pintura </t>
  </si>
  <si>
    <t>FATOR DE CORREÇÃO 20% = 1,02</t>
  </si>
  <si>
    <t xml:space="preserve">Fornecimento e instalação de forro em PVC, placas lineares, na cor branco </t>
  </si>
  <si>
    <t>Preparo e execução de piso tipo calçada, em concreto 20 Mpa , espessura de 6 cm</t>
  </si>
  <si>
    <t>CAIXA RETANGULAR 4" X 2" MÉDIA (1,30 M DO PISO), PVC, INSTALADA EM PAREDE - FORNECIMENTO E INSTALAÇÃO</t>
  </si>
  <si>
    <t>Fornecimento, lançamento e ligação de cabo unipolar de cobre isolante PVC 450 / 750V - 1,5 mm² - na cor azul claro</t>
  </si>
  <si>
    <t>Fornecimento, lançamento e ligação de cabo unipolar de cobre isolante PVC 450 / 750V - 1,5 mm² - na cor verde amarelo</t>
  </si>
  <si>
    <t>Fornecimento, lançamento e ligação de cabo unipolar de cobre isolante PVC 450 / 750V - 1,5 mm² - na cor preto</t>
  </si>
  <si>
    <t>Fornecimento, lançamento e ligação de cabo unipolar de cobre isolante PVC 450 / 750V - 1,5 mm² - na cor branco</t>
  </si>
  <si>
    <t>Fornecimento, lançamento e ligação de cabo unipolar de cobre isolante PVC 0,6 / 1 KV - 70 mm² - na cor preto</t>
  </si>
  <si>
    <t>Fornecimento, lançamento e ligação de cabo unipolar de cobre isolante PVC 0,6 / 1 KV - 35 mm² - na cor verde amarelo</t>
  </si>
  <si>
    <t>Fornecimento, lançamento e ligação de cabo unipolar de cobre isolante PVC 0,6 / 1 KV - 70 mm² - na cor azul claro</t>
  </si>
  <si>
    <t>Fornecimento, lançamento e ligação de cabo unipolar de cobre isolante PVC 0,6 / 1 KV - 16 mm² - na cor verde amarelo</t>
  </si>
  <si>
    <t>SEDOP 180679</t>
  </si>
  <si>
    <t xml:space="preserve">Fornecimento e execução de caixa de passagem em alvenaria C/ Tampa de concreto 500 x 500x 500 mm </t>
  </si>
  <si>
    <t>Fornecimento e instalação de tomada hexagonal 2P+T - 10 A</t>
  </si>
  <si>
    <t>Fornecimento e instalação de quadro de distribuição chapa pintada, de embutir, barramento trifásico, padrão DIN, capacidade 24 disjuntores unipolares - 150A</t>
  </si>
  <si>
    <t>Fornecimento e instalação de disjuntor termomagnético tripolar termomagnético 200 A - norma DIN</t>
  </si>
  <si>
    <t>Fornecimento e instalação de disjuntor termomagnético tripolar termomagnético 20 A - norma DIN</t>
  </si>
  <si>
    <t>SEDOP 170900</t>
  </si>
  <si>
    <t>SEDOP 170388</t>
  </si>
  <si>
    <t>Fornecimento e instalação de disjuntor termomagnético monopolar 10 A - norma DIN</t>
  </si>
  <si>
    <t>Fornecimento e instalação de disjuntor termomagnético bipolar 10 A - norma DIN</t>
  </si>
  <si>
    <t>93661</t>
  </si>
  <si>
    <t>Fornecimento e instalação de disjuntor termomagnético bipolar 16 A - tipo DIN</t>
  </si>
  <si>
    <t>LUMINARIA LED REFLETOR RETANGULAR BIVOLT, LUZ BRANCA, 30 W</t>
  </si>
  <si>
    <t>Fornecimento e instalação de refletor retangular LED 30w/220v</t>
  </si>
  <si>
    <t>Fornecimento e instalação de Luminária tipo plafon, de sobrepor, com 1 lâmpada LED 20 W.</t>
  </si>
  <si>
    <t>0,2231000</t>
  </si>
  <si>
    <t>0,5355000</t>
  </si>
  <si>
    <t>LUMINARIA DE TETO PLAFON/PLAFONIER EM PLASTICO COM BASE E27, POTENCIA MAXIMA 60 W (NAO INCLUI LAMPADA)</t>
  </si>
  <si>
    <t>lâmpada LED 20 W, tipo bulbo</t>
  </si>
  <si>
    <t>00003535</t>
  </si>
  <si>
    <t>JOELHO PVC, SOLDAVEL, 90 GRAUS, 40 MM, PARA AGUA FRIA PREDIAL</t>
  </si>
  <si>
    <t>7.1</t>
  </si>
  <si>
    <t>7.2</t>
  </si>
  <si>
    <t>Contrapiso de concreto fck 20 MPa, espessura 6 cm, armado</t>
  </si>
  <si>
    <t>0,2217000</t>
  </si>
  <si>
    <t>0,3570000</t>
  </si>
  <si>
    <t>7156</t>
  </si>
  <si>
    <t>TELA DE ACO SOLDADA NERVURADA, CA-60, Q-196, (3,11 KG/M2), DIAMETRO DO FIO = 5,0 MM, LARGURA = 2,45 M, ESPACAMENTO DA MALHA = 10 X 10 CM</t>
  </si>
  <si>
    <t>1,1224000</t>
  </si>
  <si>
    <t>94964</t>
  </si>
  <si>
    <t>CONCRETO FCK = 20MPA, TRAÇO 1:2,7:3 (CIMENTO/ AREIA MÉDIA/ BRITA 1)  - PREPARO MECÂNICO COM BETONEIRA 400 L. AF_07/2016</t>
  </si>
  <si>
    <t>0,0728000</t>
  </si>
  <si>
    <t xml:space="preserve">Fornecimento, dobra e aplicação de aço CA-60 B 5.0 </t>
  </si>
  <si>
    <t>Fornecimento, dobra e aplicação de aço CA-60 B 8.0</t>
  </si>
  <si>
    <t xml:space="preserve">Fornecimento, dobra e aplicação de aço CA-60 B 10.0 </t>
  </si>
  <si>
    <t>2.3</t>
  </si>
  <si>
    <t>2.4</t>
  </si>
  <si>
    <t>2.5</t>
  </si>
  <si>
    <t>2.6</t>
  </si>
  <si>
    <t>2.7</t>
  </si>
  <si>
    <t>2.8</t>
  </si>
  <si>
    <t>2.9</t>
  </si>
  <si>
    <t>2.10</t>
  </si>
  <si>
    <t>1.4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</si>
  <si>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</si>
  <si>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</si>
  <si>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</si>
  <si>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</si>
  <si>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</si>
  <si>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</si>
  <si>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</si>
  <si>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</si>
  <si>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</si>
  <si>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</si>
  <si>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</si>
  <si>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</si>
  <si>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</si>
  <si>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</si>
  <si>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</si>
  <si>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</si>
  <si>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</si>
  <si>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</si>
  <si>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</si>
  <si>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</si>
  <si>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</si>
  <si>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</si>
  <si>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</si>
  <si>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</si>
  <si>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</si>
  <si>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</si>
  <si>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</si>
  <si>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</si>
  <si>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5.29</t>
  </si>
  <si>
    <t>5.30</t>
  </si>
  <si>
    <t>5.31</t>
  </si>
  <si>
    <t>5.32</t>
  </si>
  <si>
    <t>5.33</t>
  </si>
  <si>
    <t>5.34</t>
  </si>
  <si>
    <t>TOTAL DO ITEM 5</t>
  </si>
  <si>
    <t>9.2</t>
  </si>
  <si>
    <t>10.2</t>
  </si>
  <si>
    <t>11.1</t>
  </si>
  <si>
    <t>13.1</t>
  </si>
  <si>
    <t>13.2</t>
  </si>
  <si>
    <t>13.3</t>
  </si>
  <si>
    <t>13.4</t>
  </si>
  <si>
    <t>15.1</t>
  </si>
  <si>
    <t>15.2</t>
  </si>
  <si>
    <t>TOTAL DO ITEM 15</t>
  </si>
  <si>
    <t>17.1</t>
  </si>
  <si>
    <t>TOTAL DO ITEM 17</t>
  </si>
  <si>
    <t>Fornecimento e aplicação de pintura látex acrílica semi-brilho em molduras, duas demãos, na cor branco neve</t>
  </si>
  <si>
    <t>Fabricação e instalação de tesoura inteira em madeira não aparelhada, vão de 7 m, para tleha ondulada de fibrocimento</t>
  </si>
  <si>
    <t>Trama de madeira composta por terças para telhado de até 2 águas para telha ondulada de fibrocimento, incluso transporte vertical</t>
  </si>
  <si>
    <t>Fornecimento e instalação de eletroduto de PVC flexível leve - 3/4"</t>
  </si>
  <si>
    <t>ELETROTÉCNICO COM ENCARGOS COMPLEMENTARES</t>
  </si>
  <si>
    <t>AJUDANTE ESPECIALIZADO COM ENCARGOS COMPLEMENTARES</t>
  </si>
  <si>
    <t>EXECUÇÃO DE RAMPA COM CONCRETO MOLDADO IN LOCO, fck = 20 MPA, FEITO EM OBRA, ACABAMENTO CONVENCIONAL, ESPESSURA 6 CM, ARMADO</t>
  </si>
  <si>
    <t>VER PLACA DE RISCO DE CHOQUE</t>
  </si>
  <si>
    <t>E PLACA DE PROIBIÇÃO</t>
  </si>
  <si>
    <t>TRANSPORTE COM CAMINHÃO CARROCERIA COM GUINDAUTO (MUNCK)</t>
  </si>
  <si>
    <t>TXKM</t>
  </si>
  <si>
    <t>GUINDASTE HIDRÁULICO AUTOPROPELIDO, COM LANÇA TELESCÓPICA 40 M CAPACIDADE MÁXIMA 60 T, POTÊNCIA 260 KW</t>
  </si>
  <si>
    <t>5 - SISTEMA DE PROTEÇÃO CONTRA DESCARGAS ATMOSFÉRICAS (SPDA)</t>
  </si>
  <si>
    <t>Fornecimento e instalação de haste de aterramento 5/8 para SPDA de aço/cobre, comprimento 2,4 m.</t>
  </si>
  <si>
    <t>Fornecimento e instalação de captor tipo Franklin para SPDA</t>
  </si>
  <si>
    <t>Fornecimento e instalação de cordoalha de cobre nu 35 mm² - não enterrada, com isolador</t>
  </si>
  <si>
    <t>Fornecimento e instalação de cordoalha de cobre nu 50 mm² - enterrada, sem isolador</t>
  </si>
  <si>
    <t>Fornecimento e instalação de mastro 1.1/2 para SPDA, comp.= 3 m.</t>
  </si>
  <si>
    <t>Fornecimento e instalação de caixa de inspeção para aterramento, em polietileno, circular diâmetro interno = 0,3 m</t>
  </si>
  <si>
    <t>caixa de equipotencialização - 11 terminais</t>
  </si>
  <si>
    <t>Fornecimento e instalação de caixa de equipotencialização - 11 terminais</t>
  </si>
  <si>
    <t>Fornecimento e assentamento de canaleta em alvenaria rebocada internamente (0,30X0,30 m)</t>
  </si>
  <si>
    <t>Fornecimento e instalação de placas de sinalização contra incêndio e pânico, incluindo 5 placas para extintores,  02 placas para saída de emergência, 5 placas de orientação de sentindo, 04 placas de proibição e 04 placas de risco de choque.</t>
  </si>
  <si>
    <t>Placa de sinalização para proibição fotoluminescente com adesivo dupla face</t>
  </si>
  <si>
    <t>Aterro manual apiloado com soquete</t>
  </si>
  <si>
    <t>Fornecimento e instalação de tampa em concreto com furos (0,30 x 1,00 x 0,05 m) , para canaletas</t>
  </si>
  <si>
    <t>SEDOP 050037</t>
  </si>
  <si>
    <t>Desforma</t>
  </si>
  <si>
    <t>Fornecimento e instalação de eletroduto flexível corrugado, PEAD, DN 90 (3")</t>
  </si>
  <si>
    <t>SEDOP 171034</t>
  </si>
  <si>
    <t>Fornecimento e instalação de proteção contra surto Classe II,1P,20KA,175V</t>
  </si>
  <si>
    <t>Fornecimento e instalação de cabo 10 mm² 3,6/6 KV EPR</t>
  </si>
  <si>
    <t>0,0770000</t>
  </si>
  <si>
    <t>Cabo 10 mm² 3,6/6 KV EPR</t>
  </si>
  <si>
    <t>FITA ISOLANTE ADESIVA ANTICHAMA, USO ATE 750 V, EM ROLO DE 19 MM X 5 M</t>
  </si>
  <si>
    <t>0,0090000</t>
  </si>
  <si>
    <t>Fornecimento e instalação de quadro de transferência automátiva 100 KVA</t>
  </si>
  <si>
    <t xml:space="preserve"> Quadro de transferência automátiva 100 KVA</t>
  </si>
  <si>
    <t>Fornecimento e instalação de junta de borracha tamanho grande</t>
  </si>
  <si>
    <t>17 -BALIZAMENTO DA PISTA DE POUSO/DECOLAGEM E TAXIAMENTO</t>
  </si>
  <si>
    <t>Fornecimento e instalação de parafuso  sextavado INOX 3/8" x 3/4" com arruela lisa</t>
  </si>
  <si>
    <t>Fornecimento e instalação de transformador de isolamento 30/45W - 6.6 A/6.6A - 5kv - 60 hz</t>
  </si>
  <si>
    <t xml:space="preserve">Placa suporte para luminária SN-05 </t>
  </si>
  <si>
    <t>Corpo de luminária elevada SN-05 - 1/1.2"</t>
  </si>
  <si>
    <t>Braçadeira INOX 316 do globo SN-05</t>
  </si>
  <si>
    <t>Globo prismático AMARELO/CLARO</t>
  </si>
  <si>
    <t>Globo prismático AZUL</t>
  </si>
  <si>
    <t>Globo prismático CLARO</t>
  </si>
  <si>
    <t>Globo prismático VERDE/VERMELHO</t>
  </si>
  <si>
    <t>Lâmpada incandescente 30 W-6.6 A</t>
  </si>
  <si>
    <t>Soquete receptáculo da lâmpada prefocus</t>
  </si>
  <si>
    <t>Transformador regulador de corrente constante (RCC)</t>
  </si>
  <si>
    <t>junta de borracha tamanho grande</t>
  </si>
  <si>
    <t>Parafuso  sextavado INOX 3/8" x 3/4" com arruela lisa</t>
  </si>
  <si>
    <t>10 MIN</t>
  </si>
  <si>
    <t>transformador de isolamento 30/45W - 6.6 A/6.6A - 5kv - 60 hz</t>
  </si>
  <si>
    <t xml:space="preserve">Fornecimento e instalação de placa suporte para luminária SN-05 </t>
  </si>
  <si>
    <t>Fornecimento e instalação de corpo de luminária elevada SN-05 - 1/1.2"</t>
  </si>
  <si>
    <t>Fornecimento e instalação de braçadeira INOX 316 do globo SN-05</t>
  </si>
  <si>
    <t>Fornecimento e instalação de globo prismático AMARELO/CLARO</t>
  </si>
  <si>
    <t>Fornecimento e instalação de globo prismático AZUL</t>
  </si>
  <si>
    <t>Fornecimento e instalação de globo prismático CLARO</t>
  </si>
  <si>
    <t>Fornecimento e instalação de globo prismático VERDE/VERMELHO</t>
  </si>
  <si>
    <t>Fornecimento e instalação de lâmpada incandescente 30 W-6.6 A</t>
  </si>
  <si>
    <t>Fornecimento e instalação de soquete receptáculo da lâmpada prefocus</t>
  </si>
  <si>
    <t>Fornecimento e instalação de transformador regulador de corrente constante (RCC)</t>
  </si>
  <si>
    <t>6 - DRENAGEM</t>
  </si>
  <si>
    <t>Instalação de gerador estacionário a diesel 100 KVA - 60Hz - 220/127V com acessórios e revisão com reposição de peças danificadas</t>
  </si>
  <si>
    <t>Revisão com substituição de peças danificadas</t>
  </si>
  <si>
    <t>CONSTRUÇÃO DE CASA DE FORÇA E FORNECIMENTO E INSTALAÇÃO DE BALIZAMENTO DO AEROPORTO REGIONAL DE TUCURUÍ</t>
  </si>
  <si>
    <t>6.7</t>
  </si>
  <si>
    <t>6.8</t>
  </si>
  <si>
    <t>7.4</t>
  </si>
  <si>
    <t>7.5</t>
  </si>
  <si>
    <t>7.6</t>
  </si>
  <si>
    <t>10.3</t>
  </si>
  <si>
    <t>10.4</t>
  </si>
  <si>
    <t>10.5</t>
  </si>
  <si>
    <t>11.2</t>
  </si>
  <si>
    <t>13.5</t>
  </si>
  <si>
    <t>13.6</t>
  </si>
  <si>
    <t>13.7</t>
  </si>
  <si>
    <t>13.8</t>
  </si>
  <si>
    <t>14.4</t>
  </si>
  <si>
    <t>15.3</t>
  </si>
  <si>
    <t>18.1</t>
  </si>
  <si>
    <t>18.2</t>
  </si>
  <si>
    <t>18.3</t>
  </si>
  <si>
    <t>18.4</t>
  </si>
  <si>
    <t>18.5</t>
  </si>
  <si>
    <t>18.6</t>
  </si>
  <si>
    <t>18.7</t>
  </si>
  <si>
    <t>18.8</t>
  </si>
  <si>
    <t>18.9</t>
  </si>
  <si>
    <t>18.10</t>
  </si>
  <si>
    <t>18.11</t>
  </si>
  <si>
    <t>18.12</t>
  </si>
  <si>
    <t>18.13</t>
  </si>
  <si>
    <t>TOTAL DO ITEM 18</t>
  </si>
  <si>
    <t>Placas de obra em lona com plotagem de gráfica, dim 3,00x2,00m - 1 unidade</t>
  </si>
  <si>
    <t>SINAPI JULHO/2021 e SEDOP MARÇO/2021</t>
  </si>
  <si>
    <t>87879</t>
  </si>
  <si>
    <t>87529</t>
  </si>
  <si>
    <t>102219 (composição)</t>
  </si>
  <si>
    <t>SERVIÇOS PRELIMINARES</t>
  </si>
  <si>
    <t>INFRAESTRUTURA E SUPERESTRUTURA</t>
  </si>
  <si>
    <t xml:space="preserve"> VEDAÇÕES INTERNAS E EXTERNAS</t>
  </si>
  <si>
    <t xml:space="preserve"> COBERTURA</t>
  </si>
  <si>
    <t>INSTALAÇÕES ELÉTRICAS</t>
  </si>
  <si>
    <t>SISTEMA DE PROTEÇÃO CONTRA DESCARGAS ATMOSFÉRICAS (SPDA)</t>
  </si>
  <si>
    <t>DRENAGEM</t>
  </si>
  <si>
    <t xml:space="preserve"> REVESTIMENTO DE PAREDES INTERNAS E EXTERNAS</t>
  </si>
  <si>
    <t xml:space="preserve">  PISOS</t>
  </si>
  <si>
    <t xml:space="preserve"> ESQUADRIAS/PORTÕES E GRADES</t>
  </si>
  <si>
    <t>FORRO</t>
  </si>
  <si>
    <t xml:space="preserve"> GRANITO</t>
  </si>
  <si>
    <t>PINTURA</t>
  </si>
  <si>
    <t>SERVIÇOS DIVERSOS</t>
  </si>
  <si>
    <t xml:space="preserve">SISTEMA DE COMBATE A INCÊNDIO </t>
  </si>
  <si>
    <t>SERVIÇOS COMPLEMENTARES</t>
  </si>
  <si>
    <t>BALIZAMENTO DA PISTA DE POUSO/DECOLAGEM E TAXIAMENTO</t>
  </si>
  <si>
    <t>EQUIPAMENTOS DE AR CONDICIONADO</t>
  </si>
  <si>
    <t>SEDOP050740</t>
  </si>
  <si>
    <t>Fornecimento, preparo e lançamento de concreto estrutural controle "B" fck 25 Mpa</t>
  </si>
  <si>
    <t>Fornecimento e instalação de kit conector 5KV(Pulg e Receptáculo)</t>
  </si>
  <si>
    <t>18.14</t>
  </si>
  <si>
    <t>18.15</t>
  </si>
  <si>
    <t>18.16</t>
  </si>
  <si>
    <t>18.17</t>
  </si>
  <si>
    <t>18.18</t>
  </si>
  <si>
    <t>18.19</t>
  </si>
  <si>
    <t>Execução e instalação do farol de aeródromo ( Farol Rotativo)</t>
  </si>
  <si>
    <t>cj.</t>
  </si>
  <si>
    <t>Execução e instalação indicador de direção do vento(Biruta iluminada)</t>
  </si>
  <si>
    <t>Execução e instalação da iluminação do pátio de aeronaves</t>
  </si>
  <si>
    <t>Testes e ajustes de operacionalidade local dos sistemas</t>
  </si>
  <si>
    <t>Projeto As-Built</t>
  </si>
  <si>
    <t>conj</t>
  </si>
</sst>
</file>

<file path=xl/styles.xml><?xml version="1.0" encoding="utf-8"?>
<styleSheet xmlns="http://schemas.openxmlformats.org/spreadsheetml/2006/main">
  <numFmts count="11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 &quot;#,##0_);[Red]\(&quot;R$ &quot;#,##0\)"/>
    <numFmt numFmtId="165" formatCode="_(&quot;R$ &quot;* #,##0.00_);_(&quot;R$ &quot;* \(#,##0.00\);_(&quot;R$ &quot;* &quot;-&quot;??_);_(@_)"/>
    <numFmt numFmtId="166" formatCode="_(* #,##0.00_);_(* \(#,##0.00\);_(* &quot;-&quot;??_);_(@_)"/>
    <numFmt numFmtId="167" formatCode="_(* #,##0.0000_);_(* \(#,##0.0000\);_(* &quot;-&quot;??_);_(@_)"/>
    <numFmt numFmtId="168" formatCode="0.0%"/>
    <numFmt numFmtId="169" formatCode="0.0000"/>
    <numFmt numFmtId="170" formatCode="00000"/>
    <numFmt numFmtId="171" formatCode="_(* #,##0.00_);_(* \(#,##0.00\);_(* \-??_);_(@_)"/>
    <numFmt numFmtId="172" formatCode="&quot;R$&quot;\ #,##0.00"/>
  </numFmts>
  <fonts count="42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.6"/>
      <name val="Arial"/>
      <family val="2"/>
    </font>
    <font>
      <sz val="10"/>
      <name val="Arial"/>
      <family val="2"/>
    </font>
    <font>
      <b/>
      <sz val="12"/>
      <name val="Calibri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indexed="9"/>
      <name val="Calibri"/>
      <family val="2"/>
      <scheme val="minor"/>
    </font>
    <font>
      <sz val="12"/>
      <color indexed="9"/>
      <name val="Calibri"/>
      <family val="2"/>
      <scheme val="minor"/>
    </font>
    <font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rgb="FFC00000"/>
      <name val="Arial"/>
      <family val="2"/>
    </font>
    <font>
      <sz val="12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3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3" tint="-0.249977111117893"/>
      <name val="Calibri"/>
      <family val="2"/>
      <scheme val="minor"/>
    </font>
    <font>
      <b/>
      <sz val="12"/>
      <color theme="0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i/>
      <sz val="1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indexed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gradientFill degree="135">
        <stop position="0">
          <color rgb="FFFFD253"/>
        </stop>
        <stop position="1">
          <color theme="1"/>
        </stop>
      </gradient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15"/>
      </patternFill>
    </fill>
    <fill>
      <patternFill patternType="solid">
        <fgColor theme="0" tint="-0.499984740745262"/>
        <bgColor indexed="51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47"/>
      </patternFill>
    </fill>
    <fill>
      <patternFill patternType="solid">
        <fgColor theme="3" tint="0.39997558519241921"/>
        <bgColor indexed="15"/>
      </patternFill>
    </fill>
    <fill>
      <gradientFill degree="135">
        <stop position="0">
          <color rgb="FF00CC99"/>
        </stop>
        <stop position="1">
          <color theme="1"/>
        </stop>
      </gradient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theme="0" tint="-4.9989318521683403E-2"/>
      </right>
      <top style="medium">
        <color theme="0" tint="-4.9989318521683403E-2"/>
      </top>
      <bottom style="thin">
        <color theme="1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thin">
        <color theme="1"/>
      </bottom>
      <diagonal/>
    </border>
    <border>
      <left style="medium">
        <color theme="0" tint="-4.9989318521683403E-2"/>
      </left>
      <right/>
      <top style="medium">
        <color theme="0" tint="-4.9989318521683403E-2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medium">
        <color theme="0" tint="-4.9989318521683403E-2"/>
      </right>
      <top style="thin">
        <color indexed="64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thin">
        <color indexed="64"/>
      </top>
      <bottom style="medium">
        <color theme="0" tint="-4.9989318521683403E-2"/>
      </bottom>
      <diagonal/>
    </border>
    <border>
      <left style="medium">
        <color theme="0" tint="-4.9989318521683403E-2"/>
      </left>
      <right/>
      <top style="thin">
        <color indexed="64"/>
      </top>
      <bottom style="medium">
        <color theme="0" tint="-4.9989318521683403E-2"/>
      </bottom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medium">
        <color theme="0" tint="-4.9989318521683403E-2"/>
      </bottom>
      <diagonal/>
    </border>
    <border>
      <left/>
      <right style="thin">
        <color theme="1"/>
      </right>
      <top style="thin">
        <color theme="1"/>
      </top>
      <bottom style="medium">
        <color theme="0" tint="-4.9989318521683403E-2"/>
      </bottom>
      <diagonal/>
    </border>
  </borders>
  <cellStyleXfs count="46">
    <xf numFmtId="0" fontId="0" fillId="0" borderId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1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801">
    <xf numFmtId="0" fontId="0" fillId="0" borderId="0" xfId="0"/>
    <xf numFmtId="0" fontId="0" fillId="0" borderId="0" xfId="0" applyFont="1" applyFill="1" applyAlignment="1">
      <alignment horizontal="left"/>
    </xf>
    <xf numFmtId="0" fontId="13" fillId="0" borderId="0" xfId="0" applyFont="1"/>
    <xf numFmtId="0" fontId="0" fillId="0" borderId="0" xfId="0" applyFont="1" applyFill="1"/>
    <xf numFmtId="0" fontId="13" fillId="0" borderId="0" xfId="0" applyFont="1" applyFill="1"/>
    <xf numFmtId="0" fontId="0" fillId="0" borderId="0" xfId="0" applyFont="1"/>
    <xf numFmtId="166" fontId="14" fillId="0" borderId="0" xfId="25" applyFont="1" applyFill="1" applyAlignment="1">
      <alignment horizontal="center" vertical="center"/>
    </xf>
    <xf numFmtId="165" fontId="12" fillId="0" borderId="0" xfId="1" applyFont="1" applyFill="1"/>
    <xf numFmtId="0" fontId="13" fillId="2" borderId="0" xfId="0" applyFont="1" applyFill="1"/>
    <xf numFmtId="0" fontId="0" fillId="2" borderId="0" xfId="0" applyFont="1" applyFill="1"/>
    <xf numFmtId="0" fontId="15" fillId="2" borderId="0" xfId="0" applyFont="1" applyFill="1"/>
    <xf numFmtId="0" fontId="0" fillId="0" borderId="0" xfId="0" applyFont="1" applyFill="1"/>
    <xf numFmtId="0" fontId="0" fillId="2" borderId="0" xfId="0" applyFont="1" applyFill="1"/>
    <xf numFmtId="0" fontId="0" fillId="0" borderId="0" xfId="0" applyFont="1"/>
    <xf numFmtId="0" fontId="0" fillId="0" borderId="0" xfId="0" applyFont="1" applyFill="1"/>
    <xf numFmtId="0" fontId="0" fillId="0" borderId="0" xfId="0" applyFont="1" applyFill="1" applyBorder="1"/>
    <xf numFmtId="0" fontId="0" fillId="0" borderId="0" xfId="0" applyFont="1" applyFill="1"/>
    <xf numFmtId="0" fontId="16" fillId="0" borderId="0" xfId="0" applyFont="1" applyFill="1" applyBorder="1"/>
    <xf numFmtId="0" fontId="16" fillId="0" borderId="0" xfId="0" applyFont="1" applyFill="1"/>
    <xf numFmtId="0" fontId="15" fillId="0" borderId="0" xfId="0" applyFont="1" applyFill="1"/>
    <xf numFmtId="0" fontId="0" fillId="0" borderId="0" xfId="0" applyFont="1" applyFill="1"/>
    <xf numFmtId="0" fontId="15" fillId="0" borderId="1" xfId="22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66" fontId="18" fillId="0" borderId="1" xfId="29" applyFont="1" applyBorder="1" applyAlignment="1">
      <alignment horizontal="center" vertical="center"/>
    </xf>
    <xf numFmtId="166" fontId="18" fillId="0" borderId="1" xfId="29" quotePrefix="1" applyFont="1" applyBorder="1" applyAlignment="1">
      <alignment horizontal="center" vertical="center"/>
    </xf>
    <xf numFmtId="49" fontId="18" fillId="0" borderId="1" xfId="26" quotePrefix="1" applyNumberFormat="1" applyFont="1" applyBorder="1" applyAlignment="1">
      <alignment horizontal="center" vertical="center"/>
    </xf>
    <xf numFmtId="166" fontId="19" fillId="0" borderId="1" xfId="29" applyFont="1" applyBorder="1" applyAlignment="1">
      <alignment vertical="center" wrapText="1"/>
    </xf>
    <xf numFmtId="166" fontId="19" fillId="0" borderId="1" xfId="29" applyFont="1" applyBorder="1" applyAlignment="1">
      <alignment horizontal="center" vertical="center"/>
    </xf>
    <xf numFmtId="167" fontId="19" fillId="0" borderId="1" xfId="29" applyNumberFormat="1" applyFont="1" applyBorder="1" applyAlignment="1">
      <alignment horizontal="right" vertical="center" wrapText="1"/>
    </xf>
    <xf numFmtId="166" fontId="19" fillId="0" borderId="1" xfId="25" applyFont="1" applyBorder="1" applyAlignment="1">
      <alignment horizontal="right" vertical="center" wrapText="1"/>
    </xf>
    <xf numFmtId="166" fontId="19" fillId="0" borderId="1" xfId="29" applyFont="1" applyBorder="1" applyAlignment="1">
      <alignment horizontal="right" vertical="center" wrapText="1"/>
    </xf>
    <xf numFmtId="166" fontId="18" fillId="0" borderId="1" xfId="29" applyFont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/>
    </xf>
    <xf numFmtId="166" fontId="19" fillId="0" borderId="1" xfId="29" applyFont="1" applyFill="1" applyBorder="1" applyAlignment="1">
      <alignment vertical="center" wrapText="1"/>
    </xf>
    <xf numFmtId="166" fontId="19" fillId="0" borderId="1" xfId="29" applyFont="1" applyFill="1" applyBorder="1" applyAlignment="1">
      <alignment horizontal="center" vertical="center"/>
    </xf>
    <xf numFmtId="167" fontId="19" fillId="0" borderId="1" xfId="29" applyNumberFormat="1" applyFont="1" applyFill="1" applyBorder="1" applyAlignment="1">
      <alignment horizontal="right" vertical="center" wrapText="1"/>
    </xf>
    <xf numFmtId="166" fontId="19" fillId="0" borderId="1" xfId="25" applyFont="1" applyFill="1" applyBorder="1" applyAlignment="1">
      <alignment horizontal="right" vertical="center" wrapText="1"/>
    </xf>
    <xf numFmtId="166" fontId="19" fillId="0" borderId="1" xfId="29" applyFont="1" applyFill="1" applyBorder="1" applyAlignment="1">
      <alignment horizontal="right" vertical="center" wrapText="1"/>
    </xf>
    <xf numFmtId="166" fontId="19" fillId="0" borderId="1" xfId="25" applyFont="1" applyFill="1" applyBorder="1" applyAlignment="1">
      <alignment vertical="center" wrapText="1"/>
    </xf>
    <xf numFmtId="166" fontId="19" fillId="0" borderId="1" xfId="25" applyFont="1" applyFill="1" applyBorder="1" applyAlignment="1">
      <alignment horizontal="center" vertical="center"/>
    </xf>
    <xf numFmtId="167" fontId="19" fillId="0" borderId="1" xfId="25" applyNumberFormat="1" applyFont="1" applyFill="1" applyBorder="1" applyAlignment="1">
      <alignment horizontal="right" vertical="center" wrapText="1"/>
    </xf>
    <xf numFmtId="49" fontId="18" fillId="0" borderId="1" xfId="26" applyNumberFormat="1" applyFont="1" applyBorder="1" applyAlignment="1">
      <alignment horizontal="center" vertical="center"/>
    </xf>
    <xf numFmtId="166" fontId="18" fillId="0" borderId="1" xfId="26" applyFont="1" applyBorder="1" applyAlignment="1">
      <alignment horizontal="center" vertical="center"/>
    </xf>
    <xf numFmtId="166" fontId="18" fillId="0" borderId="1" xfId="26" quotePrefix="1" applyFont="1" applyBorder="1" applyAlignment="1">
      <alignment horizontal="center" vertical="center"/>
    </xf>
    <xf numFmtId="166" fontId="19" fillId="0" borderId="1" xfId="26" applyFont="1" applyBorder="1" applyAlignment="1">
      <alignment vertical="center" wrapText="1"/>
    </xf>
    <xf numFmtId="166" fontId="19" fillId="0" borderId="1" xfId="26" applyFont="1" applyBorder="1" applyAlignment="1">
      <alignment horizontal="center" vertical="center"/>
    </xf>
    <xf numFmtId="167" fontId="19" fillId="0" borderId="1" xfId="26" applyNumberFormat="1" applyFont="1" applyBorder="1" applyAlignment="1">
      <alignment horizontal="right" vertical="center" wrapText="1"/>
    </xf>
    <xf numFmtId="166" fontId="19" fillId="0" borderId="1" xfId="26" applyFont="1" applyBorder="1" applyAlignment="1">
      <alignment horizontal="right" vertical="center" wrapText="1"/>
    </xf>
    <xf numFmtId="166" fontId="18" fillId="0" borderId="1" xfId="26" applyFont="1" applyBorder="1" applyAlignment="1">
      <alignment horizontal="right" vertical="center" wrapText="1"/>
    </xf>
    <xf numFmtId="166" fontId="19" fillId="0" borderId="1" xfId="26" applyFont="1" applyFill="1" applyBorder="1" applyAlignment="1">
      <alignment vertical="center" wrapText="1"/>
    </xf>
    <xf numFmtId="49" fontId="18" fillId="0" borderId="1" xfId="26" applyNumberFormat="1" applyFont="1" applyBorder="1" applyAlignment="1">
      <alignment horizontal="center" vertical="center" wrapText="1"/>
    </xf>
    <xf numFmtId="49" fontId="18" fillId="0" borderId="1" xfId="26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66" fontId="18" fillId="0" borderId="1" xfId="25" quotePrefix="1" applyFont="1" applyFill="1" applyBorder="1" applyAlignment="1">
      <alignment horizontal="center" vertical="center"/>
    </xf>
    <xf numFmtId="166" fontId="18" fillId="0" borderId="1" xfId="25" applyFont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166" fontId="19" fillId="0" borderId="1" xfId="25" applyFont="1" applyFill="1" applyBorder="1" applyAlignment="1">
      <alignment horizontal="left" vertical="center" wrapText="1"/>
    </xf>
    <xf numFmtId="0" fontId="20" fillId="0" borderId="0" xfId="0" applyFont="1"/>
    <xf numFmtId="0" fontId="18" fillId="3" borderId="19" xfId="0" applyFont="1" applyFill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166" fontId="0" fillId="0" borderId="0" xfId="0" applyNumberFormat="1" applyFont="1" applyFill="1" applyBorder="1"/>
    <xf numFmtId="0" fontId="19" fillId="0" borderId="0" xfId="0" applyFont="1"/>
    <xf numFmtId="166" fontId="19" fillId="0" borderId="23" xfId="25" applyFont="1" applyFill="1" applyBorder="1" applyAlignment="1">
      <alignment vertical="center" wrapText="1"/>
    </xf>
    <xf numFmtId="166" fontId="19" fillId="0" borderId="23" xfId="25" applyFont="1" applyFill="1" applyBorder="1" applyAlignment="1">
      <alignment horizontal="center" vertical="center"/>
    </xf>
    <xf numFmtId="166" fontId="19" fillId="0" borderId="24" xfId="25" applyFont="1" applyFill="1" applyBorder="1" applyAlignment="1">
      <alignment horizontal="right" vertical="center" wrapText="1"/>
    </xf>
    <xf numFmtId="166" fontId="19" fillId="0" borderId="23" xfId="25" applyFont="1" applyFill="1" applyBorder="1" applyAlignment="1">
      <alignment horizontal="right" vertical="center" wrapText="1"/>
    </xf>
    <xf numFmtId="0" fontId="17" fillId="3" borderId="19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21" xfId="0" applyFont="1" applyFill="1" applyBorder="1" applyAlignment="1">
      <alignment horizontal="center" vertical="center"/>
    </xf>
    <xf numFmtId="0" fontId="21" fillId="0" borderId="0" xfId="0" applyFont="1"/>
    <xf numFmtId="0" fontId="22" fillId="0" borderId="0" xfId="0" applyFont="1"/>
    <xf numFmtId="0" fontId="19" fillId="0" borderId="23" xfId="0" applyFont="1" applyBorder="1" applyAlignment="1">
      <alignment horizontal="center" vertical="center"/>
    </xf>
    <xf numFmtId="0" fontId="21" fillId="0" borderId="0" xfId="0" applyFont="1" applyAlignment="1"/>
    <xf numFmtId="0" fontId="19" fillId="0" borderId="0" xfId="0" applyFont="1" applyFill="1"/>
    <xf numFmtId="0" fontId="23" fillId="0" borderId="0" xfId="0" applyFont="1" applyBorder="1"/>
    <xf numFmtId="166" fontId="8" fillId="0" borderId="2" xfId="26" applyFont="1" applyBorder="1" applyAlignment="1">
      <alignment horizontal="center" vertical="center"/>
    </xf>
    <xf numFmtId="166" fontId="8" fillId="0" borderId="2" xfId="26" quotePrefix="1" applyFont="1" applyBorder="1" applyAlignment="1">
      <alignment horizontal="center" vertical="center"/>
    </xf>
    <xf numFmtId="166" fontId="3" fillId="0" borderId="3" xfId="26" applyFont="1" applyBorder="1" applyAlignment="1">
      <alignment vertical="center" wrapText="1"/>
    </xf>
    <xf numFmtId="166" fontId="3" fillId="0" borderId="3" xfId="26" applyFont="1" applyBorder="1" applyAlignment="1">
      <alignment horizontal="center" vertical="center"/>
    </xf>
    <xf numFmtId="167" fontId="3" fillId="0" borderId="3" xfId="26" applyNumberFormat="1" applyFont="1" applyBorder="1" applyAlignment="1">
      <alignment horizontal="right" vertical="center" wrapText="1"/>
    </xf>
    <xf numFmtId="166" fontId="3" fillId="0" borderId="4" xfId="26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/>
    </xf>
    <xf numFmtId="166" fontId="8" fillId="0" borderId="4" xfId="26" applyFont="1" applyBorder="1" applyAlignment="1">
      <alignment horizontal="right" vertical="center" wrapText="1"/>
    </xf>
    <xf numFmtId="166" fontId="3" fillId="0" borderId="3" xfId="26" applyFont="1" applyFill="1" applyBorder="1" applyAlignment="1">
      <alignment horizontal="left" vertical="center" wrapText="1"/>
    </xf>
    <xf numFmtId="166" fontId="3" fillId="0" borderId="3" xfId="26" applyFont="1" applyFill="1" applyBorder="1" applyAlignment="1">
      <alignment horizontal="center" vertical="center"/>
    </xf>
    <xf numFmtId="167" fontId="3" fillId="0" borderId="3" xfId="26" applyNumberFormat="1" applyFont="1" applyFill="1" applyBorder="1" applyAlignment="1">
      <alignment horizontal="right" vertical="center" wrapText="1"/>
    </xf>
    <xf numFmtId="166" fontId="3" fillId="0" borderId="3" xfId="26" applyFont="1" applyFill="1" applyBorder="1" applyAlignment="1">
      <alignment horizontal="right" vertical="center" wrapText="1"/>
    </xf>
    <xf numFmtId="166" fontId="3" fillId="0" borderId="4" xfId="26" applyFont="1" applyFill="1" applyBorder="1" applyAlignment="1">
      <alignment horizontal="right" vertical="center" wrapText="1"/>
    </xf>
    <xf numFmtId="166" fontId="18" fillId="0" borderId="22" xfId="25" applyFont="1" applyBorder="1" applyAlignment="1">
      <alignment horizontal="center" vertical="center"/>
    </xf>
    <xf numFmtId="166" fontId="18" fillId="0" borderId="22" xfId="25" quotePrefix="1" applyFont="1" applyBorder="1" applyAlignment="1">
      <alignment horizontal="center" vertical="center"/>
    </xf>
    <xf numFmtId="166" fontId="19" fillId="0" borderId="23" xfId="25" applyFont="1" applyBorder="1" applyAlignment="1">
      <alignment vertical="center" wrapText="1"/>
    </xf>
    <xf numFmtId="166" fontId="19" fillId="0" borderId="23" xfId="25" applyFont="1" applyBorder="1" applyAlignment="1">
      <alignment horizontal="center" vertical="center"/>
    </xf>
    <xf numFmtId="167" fontId="19" fillId="0" borderId="23" xfId="25" applyNumberFormat="1" applyFont="1" applyBorder="1" applyAlignment="1">
      <alignment horizontal="right" vertical="center" wrapText="1"/>
    </xf>
    <xf numFmtId="166" fontId="19" fillId="0" borderId="23" xfId="25" applyFont="1" applyBorder="1" applyAlignment="1">
      <alignment horizontal="right" vertical="center" wrapText="1"/>
    </xf>
    <xf numFmtId="166" fontId="19" fillId="0" borderId="24" xfId="25" applyFont="1" applyBorder="1" applyAlignment="1">
      <alignment horizontal="right" vertical="center" wrapText="1"/>
    </xf>
    <xf numFmtId="166" fontId="18" fillId="0" borderId="24" xfId="25" applyFont="1" applyBorder="1" applyAlignment="1">
      <alignment horizontal="right" vertical="center" wrapText="1"/>
    </xf>
    <xf numFmtId="166" fontId="8" fillId="0" borderId="2" xfId="26" applyFont="1" applyBorder="1" applyAlignment="1">
      <alignment horizontal="center" vertical="center" wrapText="1"/>
    </xf>
    <xf numFmtId="49" fontId="17" fillId="3" borderId="19" xfId="0" applyNumberFormat="1" applyFont="1" applyFill="1" applyBorder="1" applyAlignment="1">
      <alignment horizontal="center" vertical="center"/>
    </xf>
    <xf numFmtId="49" fontId="18" fillId="0" borderId="22" xfId="0" applyNumberFormat="1" applyFont="1" applyBorder="1" applyAlignment="1">
      <alignment horizontal="center" vertical="center"/>
    </xf>
    <xf numFmtId="49" fontId="18" fillId="0" borderId="22" xfId="0" quotePrefix="1" applyNumberFormat="1" applyFont="1" applyBorder="1" applyAlignment="1">
      <alignment horizontal="center" vertical="center"/>
    </xf>
    <xf numFmtId="0" fontId="20" fillId="0" borderId="0" xfId="0" applyFont="1" applyBorder="1"/>
    <xf numFmtId="0" fontId="25" fillId="0" borderId="0" xfId="0" applyFont="1" applyFill="1" applyBorder="1"/>
    <xf numFmtId="166" fontId="18" fillId="4" borderId="2" xfId="29" applyFont="1" applyFill="1" applyBorder="1" applyAlignment="1">
      <alignment horizontal="center" vertical="center"/>
    </xf>
    <xf numFmtId="166" fontId="18" fillId="4" borderId="2" xfId="29" quotePrefix="1" applyFont="1" applyFill="1" applyBorder="1" applyAlignment="1">
      <alignment horizontal="center" vertical="center"/>
    </xf>
    <xf numFmtId="49" fontId="18" fillId="4" borderId="2" xfId="29" applyNumberFormat="1" applyFont="1" applyFill="1" applyBorder="1" applyAlignment="1">
      <alignment horizontal="center" vertical="center"/>
    </xf>
    <xf numFmtId="166" fontId="19" fillId="4" borderId="3" xfId="29" applyFont="1" applyFill="1" applyBorder="1" applyAlignment="1">
      <alignment vertical="center" wrapText="1"/>
    </xf>
    <xf numFmtId="166" fontId="19" fillId="4" borderId="3" xfId="29" applyFont="1" applyFill="1" applyBorder="1" applyAlignment="1">
      <alignment horizontal="center" vertical="center"/>
    </xf>
    <xf numFmtId="167" fontId="19" fillId="4" borderId="3" xfId="29" applyNumberFormat="1" applyFont="1" applyFill="1" applyBorder="1" applyAlignment="1">
      <alignment horizontal="right" vertical="center" wrapText="1"/>
    </xf>
    <xf numFmtId="166" fontId="19" fillId="4" borderId="3" xfId="29" applyFont="1" applyFill="1" applyBorder="1" applyAlignment="1">
      <alignment horizontal="right" vertical="center" wrapText="1"/>
    </xf>
    <xf numFmtId="166" fontId="19" fillId="4" borderId="4" xfId="29" applyFont="1" applyFill="1" applyBorder="1" applyAlignment="1">
      <alignment horizontal="right" vertical="center" wrapText="1"/>
    </xf>
    <xf numFmtId="166" fontId="18" fillId="4" borderId="4" xfId="29" applyFont="1" applyFill="1" applyBorder="1" applyAlignment="1">
      <alignment horizontal="right" vertical="center" wrapText="1"/>
    </xf>
    <xf numFmtId="0" fontId="18" fillId="4" borderId="2" xfId="0" applyFont="1" applyFill="1" applyBorder="1" applyAlignment="1">
      <alignment horizontal="center" vertical="center"/>
    </xf>
    <xf numFmtId="166" fontId="18" fillId="4" borderId="1" xfId="29" applyFont="1" applyFill="1" applyBorder="1" applyAlignment="1">
      <alignment horizontal="center" vertical="center"/>
    </xf>
    <xf numFmtId="166" fontId="18" fillId="4" borderId="1" xfId="29" quotePrefix="1" applyFont="1" applyFill="1" applyBorder="1" applyAlignment="1">
      <alignment horizontal="center" vertical="center"/>
    </xf>
    <xf numFmtId="49" fontId="18" fillId="4" borderId="1" xfId="26" quotePrefix="1" applyNumberFormat="1" applyFont="1" applyFill="1" applyBorder="1" applyAlignment="1">
      <alignment horizontal="center" vertical="center"/>
    </xf>
    <xf numFmtId="166" fontId="19" fillId="4" borderId="1" xfId="29" applyFont="1" applyFill="1" applyBorder="1" applyAlignment="1">
      <alignment vertical="center" wrapText="1"/>
    </xf>
    <xf numFmtId="166" fontId="19" fillId="4" borderId="1" xfId="29" applyFont="1" applyFill="1" applyBorder="1" applyAlignment="1">
      <alignment horizontal="center" vertical="center"/>
    </xf>
    <xf numFmtId="167" fontId="19" fillId="4" borderId="1" xfId="29" applyNumberFormat="1" applyFont="1" applyFill="1" applyBorder="1" applyAlignment="1">
      <alignment horizontal="right" vertical="center" wrapText="1"/>
    </xf>
    <xf numFmtId="166" fontId="19" fillId="4" borderId="1" xfId="26" applyFont="1" applyFill="1" applyBorder="1" applyAlignment="1">
      <alignment horizontal="right" vertical="center" wrapText="1"/>
    </xf>
    <xf numFmtId="166" fontId="19" fillId="4" borderId="1" xfId="29" applyFont="1" applyFill="1" applyBorder="1" applyAlignment="1">
      <alignment horizontal="right" vertical="center" wrapText="1"/>
    </xf>
    <xf numFmtId="49" fontId="18" fillId="4" borderId="1" xfId="26" applyNumberFormat="1" applyFont="1" applyFill="1" applyBorder="1" applyAlignment="1">
      <alignment horizontal="center" vertical="center"/>
    </xf>
    <xf numFmtId="166" fontId="18" fillId="4" borderId="1" xfId="29" applyFont="1" applyFill="1" applyBorder="1" applyAlignment="1">
      <alignment horizontal="right" vertical="center" wrapText="1"/>
    </xf>
    <xf numFmtId="0" fontId="18" fillId="4" borderId="1" xfId="0" applyFont="1" applyFill="1" applyBorder="1" applyAlignment="1">
      <alignment horizontal="center" vertical="center"/>
    </xf>
    <xf numFmtId="166" fontId="18" fillId="4" borderId="5" xfId="29" applyFont="1" applyFill="1" applyBorder="1" applyAlignment="1">
      <alignment horizontal="center" vertical="center"/>
    </xf>
    <xf numFmtId="166" fontId="18" fillId="4" borderId="5" xfId="29" quotePrefix="1" applyFont="1" applyFill="1" applyBorder="1" applyAlignment="1">
      <alignment horizontal="center" vertical="center"/>
    </xf>
    <xf numFmtId="166" fontId="19" fillId="4" borderId="6" xfId="29" applyFont="1" applyFill="1" applyBorder="1" applyAlignment="1">
      <alignment horizontal="right" vertical="center" wrapText="1"/>
    </xf>
    <xf numFmtId="166" fontId="18" fillId="4" borderId="6" xfId="29" applyFont="1" applyFill="1" applyBorder="1" applyAlignment="1">
      <alignment horizontal="right" vertical="center" wrapText="1"/>
    </xf>
    <xf numFmtId="166" fontId="19" fillId="4" borderId="23" xfId="26" applyFont="1" applyFill="1" applyBorder="1" applyAlignment="1">
      <alignment vertical="center"/>
    </xf>
    <xf numFmtId="166" fontId="19" fillId="4" borderId="23" xfId="26" applyFont="1" applyFill="1" applyBorder="1" applyAlignment="1">
      <alignment horizontal="center" vertical="center"/>
    </xf>
    <xf numFmtId="167" fontId="19" fillId="4" borderId="23" xfId="26" applyNumberFormat="1" applyFont="1" applyFill="1" applyBorder="1" applyAlignment="1">
      <alignment horizontal="right" vertical="center" wrapText="1"/>
    </xf>
    <xf numFmtId="166" fontId="19" fillId="4" borderId="23" xfId="26" applyFont="1" applyFill="1" applyBorder="1" applyAlignment="1">
      <alignment horizontal="right" vertical="center" wrapText="1"/>
    </xf>
    <xf numFmtId="166" fontId="19" fillId="4" borderId="24" xfId="26" applyFont="1" applyFill="1" applyBorder="1" applyAlignment="1">
      <alignment horizontal="right" vertical="center" wrapText="1"/>
    </xf>
    <xf numFmtId="166" fontId="18" fillId="4" borderId="1" xfId="25" applyFont="1" applyFill="1" applyBorder="1" applyAlignment="1">
      <alignment horizontal="center" vertical="center"/>
    </xf>
    <xf numFmtId="166" fontId="18" fillId="4" borderId="1" xfId="25" quotePrefix="1" applyFont="1" applyFill="1" applyBorder="1" applyAlignment="1">
      <alignment horizontal="center" vertical="center"/>
    </xf>
    <xf numFmtId="166" fontId="19" fillId="4" borderId="1" xfId="25" applyFont="1" applyFill="1" applyBorder="1" applyAlignment="1">
      <alignment vertical="center" wrapText="1"/>
    </xf>
    <xf numFmtId="166" fontId="19" fillId="4" borderId="1" xfId="25" applyFont="1" applyFill="1" applyBorder="1" applyAlignment="1">
      <alignment horizontal="center" vertical="center"/>
    </xf>
    <xf numFmtId="167" fontId="19" fillId="4" borderId="1" xfId="25" applyNumberFormat="1" applyFont="1" applyFill="1" applyBorder="1" applyAlignment="1">
      <alignment horizontal="right" vertical="center" wrapText="1"/>
    </xf>
    <xf numFmtId="166" fontId="19" fillId="4" borderId="1" xfId="25" applyFont="1" applyFill="1" applyBorder="1" applyAlignment="1">
      <alignment horizontal="right" vertical="center" wrapText="1"/>
    </xf>
    <xf numFmtId="166" fontId="18" fillId="4" borderId="1" xfId="25" applyFont="1" applyFill="1" applyBorder="1" applyAlignment="1">
      <alignment horizontal="right" vertical="center" wrapText="1"/>
    </xf>
    <xf numFmtId="0" fontId="18" fillId="4" borderId="1" xfId="25" quotePrefix="1" applyNumberFormat="1" applyFont="1" applyFill="1" applyBorder="1" applyAlignment="1">
      <alignment horizontal="center" vertical="center"/>
    </xf>
    <xf numFmtId="166" fontId="18" fillId="4" borderId="25" xfId="3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/>
    </xf>
    <xf numFmtId="166" fontId="19" fillId="4" borderId="23" xfId="31" applyFont="1" applyFill="1" applyBorder="1" applyAlignment="1">
      <alignment vertical="center" wrapText="1"/>
    </xf>
    <xf numFmtId="166" fontId="19" fillId="4" borderId="23" xfId="31" applyFont="1" applyFill="1" applyBorder="1" applyAlignment="1">
      <alignment horizontal="center" vertical="center"/>
    </xf>
    <xf numFmtId="166" fontId="19" fillId="4" borderId="23" xfId="31" applyNumberFormat="1" applyFont="1" applyFill="1" applyBorder="1" applyAlignment="1">
      <alignment horizontal="right" vertical="center" wrapText="1"/>
    </xf>
    <xf numFmtId="166" fontId="19" fillId="4" borderId="23" xfId="31" applyFont="1" applyFill="1" applyBorder="1" applyAlignment="1">
      <alignment horizontal="right" vertical="center" wrapText="1"/>
    </xf>
    <xf numFmtId="166" fontId="19" fillId="4" borderId="24" xfId="31" applyFont="1" applyFill="1" applyBorder="1" applyAlignment="1">
      <alignment horizontal="right" vertical="center" wrapText="1"/>
    </xf>
    <xf numFmtId="166" fontId="18" fillId="4" borderId="24" xfId="31" applyFont="1" applyFill="1" applyBorder="1" applyAlignment="1">
      <alignment horizontal="right" vertical="center" wrapText="1"/>
    </xf>
    <xf numFmtId="166" fontId="18" fillId="4" borderId="1" xfId="26" applyFont="1" applyFill="1" applyBorder="1" applyAlignment="1">
      <alignment horizontal="center" vertical="center"/>
    </xf>
    <xf numFmtId="166" fontId="18" fillId="4" borderId="1" xfId="26" quotePrefix="1" applyFont="1" applyFill="1" applyBorder="1" applyAlignment="1">
      <alignment horizontal="center" vertical="center"/>
    </xf>
    <xf numFmtId="166" fontId="19" fillId="4" borderId="1" xfId="26" applyFont="1" applyFill="1" applyBorder="1" applyAlignment="1">
      <alignment vertical="center" wrapText="1"/>
    </xf>
    <xf numFmtId="166" fontId="19" fillId="4" borderId="1" xfId="26" applyFont="1" applyFill="1" applyBorder="1" applyAlignment="1">
      <alignment horizontal="center" vertical="center"/>
    </xf>
    <xf numFmtId="167" fontId="19" fillId="4" borderId="1" xfId="26" applyNumberFormat="1" applyFont="1" applyFill="1" applyBorder="1" applyAlignment="1">
      <alignment horizontal="right" vertical="center" wrapText="1"/>
    </xf>
    <xf numFmtId="166" fontId="18" fillId="4" borderId="1" xfId="26" applyFont="1" applyFill="1" applyBorder="1" applyAlignment="1">
      <alignment horizontal="right" vertical="center" wrapText="1"/>
    </xf>
    <xf numFmtId="166" fontId="19" fillId="4" borderId="1" xfId="25" applyFont="1" applyFill="1" applyBorder="1" applyAlignment="1">
      <alignment vertical="center"/>
    </xf>
    <xf numFmtId="0" fontId="18" fillId="4" borderId="1" xfId="0" applyFont="1" applyFill="1" applyBorder="1" applyAlignment="1">
      <alignment horizontal="center" vertical="center"/>
    </xf>
    <xf numFmtId="49" fontId="18" fillId="4" borderId="22" xfId="0" applyNumberFormat="1" applyFont="1" applyFill="1" applyBorder="1" applyAlignment="1">
      <alignment horizontal="center" vertical="center"/>
    </xf>
    <xf numFmtId="49" fontId="18" fillId="4" borderId="22" xfId="0" quotePrefix="1" applyNumberFormat="1" applyFont="1" applyFill="1" applyBorder="1" applyAlignment="1">
      <alignment horizontal="center" vertical="center"/>
    </xf>
    <xf numFmtId="166" fontId="19" fillId="4" borderId="23" xfId="25" applyFont="1" applyFill="1" applyBorder="1" applyAlignment="1">
      <alignment vertical="center" wrapText="1"/>
    </xf>
    <xf numFmtId="0" fontId="19" fillId="4" borderId="23" xfId="0" applyFont="1" applyFill="1" applyBorder="1" applyAlignment="1">
      <alignment horizontal="center" vertical="center"/>
    </xf>
    <xf numFmtId="167" fontId="19" fillId="4" borderId="23" xfId="25" applyNumberFormat="1" applyFont="1" applyFill="1" applyBorder="1" applyAlignment="1">
      <alignment horizontal="right" vertical="center" wrapText="1"/>
    </xf>
    <xf numFmtId="166" fontId="19" fillId="4" borderId="23" xfId="25" applyFont="1" applyFill="1" applyBorder="1" applyAlignment="1">
      <alignment horizontal="right" vertical="center" wrapText="1"/>
    </xf>
    <xf numFmtId="166" fontId="19" fillId="4" borderId="24" xfId="25" applyFont="1" applyFill="1" applyBorder="1" applyAlignment="1">
      <alignment horizontal="right" vertical="center" wrapText="1"/>
    </xf>
    <xf numFmtId="166" fontId="18" fillId="4" borderId="24" xfId="25" applyFont="1" applyFill="1" applyBorder="1" applyAlignment="1">
      <alignment horizontal="right" vertical="center" wrapText="1"/>
    </xf>
    <xf numFmtId="49" fontId="18" fillId="4" borderId="1" xfId="26" applyNumberFormat="1" applyFont="1" applyFill="1" applyBorder="1" applyAlignment="1">
      <alignment horizontal="center" vertical="center" wrapText="1"/>
    </xf>
    <xf numFmtId="166" fontId="18" fillId="4" borderId="1" xfId="27" applyFont="1" applyFill="1" applyBorder="1" applyAlignment="1">
      <alignment horizontal="center" vertical="center"/>
    </xf>
    <xf numFmtId="166" fontId="18" fillId="4" borderId="1" xfId="27" quotePrefix="1" applyFont="1" applyFill="1" applyBorder="1" applyAlignment="1">
      <alignment horizontal="center" vertical="center"/>
    </xf>
    <xf numFmtId="166" fontId="19" fillId="4" borderId="1" xfId="27" applyFont="1" applyFill="1" applyBorder="1" applyAlignment="1">
      <alignment vertical="center" wrapText="1"/>
    </xf>
    <xf numFmtId="166" fontId="19" fillId="4" borderId="1" xfId="27" applyFont="1" applyFill="1" applyBorder="1" applyAlignment="1">
      <alignment horizontal="center" vertical="center"/>
    </xf>
    <xf numFmtId="167" fontId="19" fillId="4" borderId="1" xfId="27" applyNumberFormat="1" applyFont="1" applyFill="1" applyBorder="1" applyAlignment="1">
      <alignment horizontal="right" vertical="center" wrapText="1"/>
    </xf>
    <xf numFmtId="166" fontId="19" fillId="4" borderId="1" xfId="27" applyFont="1" applyFill="1" applyBorder="1" applyAlignment="1">
      <alignment horizontal="right" vertical="center" wrapText="1"/>
    </xf>
    <xf numFmtId="166" fontId="18" fillId="4" borderId="1" xfId="27" applyFont="1" applyFill="1" applyBorder="1" applyAlignment="1">
      <alignment horizontal="right" vertical="center" wrapText="1"/>
    </xf>
    <xf numFmtId="167" fontId="18" fillId="4" borderId="1" xfId="25" applyNumberFormat="1" applyFont="1" applyFill="1" applyBorder="1" applyAlignment="1">
      <alignment horizontal="center" vertical="center" wrapText="1"/>
    </xf>
    <xf numFmtId="166" fontId="19" fillId="4" borderId="1" xfId="25" applyFont="1" applyFill="1" applyBorder="1" applyAlignment="1">
      <alignment horizontal="left" vertical="justify"/>
    </xf>
    <xf numFmtId="166" fontId="18" fillId="4" borderId="1" xfId="25" applyFont="1" applyFill="1" applyBorder="1" applyAlignment="1">
      <alignment horizontal="center" vertical="center" wrapText="1"/>
    </xf>
    <xf numFmtId="167" fontId="19" fillId="4" borderId="1" xfId="0" applyNumberFormat="1" applyFont="1" applyFill="1" applyBorder="1" applyAlignment="1">
      <alignment horizontal="left" vertical="center"/>
    </xf>
    <xf numFmtId="0" fontId="18" fillId="4" borderId="1" xfId="29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166" fontId="18" fillId="4" borderId="22" xfId="25" applyFont="1" applyFill="1" applyBorder="1" applyAlignment="1">
      <alignment horizontal="center" vertical="center"/>
    </xf>
    <xf numFmtId="166" fontId="18" fillId="4" borderId="22" xfId="25" quotePrefix="1" applyFont="1" applyFill="1" applyBorder="1" applyAlignment="1">
      <alignment horizontal="center" vertical="center"/>
    </xf>
    <xf numFmtId="166" fontId="19" fillId="4" borderId="23" xfId="25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166" fontId="18" fillId="4" borderId="22" xfId="26" applyFont="1" applyFill="1" applyBorder="1" applyAlignment="1">
      <alignment horizontal="center" vertical="center"/>
    </xf>
    <xf numFmtId="166" fontId="18" fillId="4" borderId="22" xfId="26" quotePrefix="1" applyFont="1" applyFill="1" applyBorder="1" applyAlignment="1">
      <alignment horizontal="center" vertical="center"/>
    </xf>
    <xf numFmtId="49" fontId="18" fillId="4" borderId="22" xfId="26" quotePrefix="1" applyNumberFormat="1" applyFont="1" applyFill="1" applyBorder="1" applyAlignment="1">
      <alignment horizontal="center" vertical="center"/>
    </xf>
    <xf numFmtId="166" fontId="19" fillId="4" borderId="23" xfId="26" applyFont="1" applyFill="1" applyBorder="1" applyAlignment="1">
      <alignment vertical="center" wrapText="1"/>
    </xf>
    <xf numFmtId="166" fontId="18" fillId="4" borderId="24" xfId="26" applyFont="1" applyFill="1" applyBorder="1" applyAlignment="1">
      <alignment horizontal="right" vertical="center" wrapText="1"/>
    </xf>
    <xf numFmtId="166" fontId="18" fillId="4" borderId="22" xfId="26" applyFont="1" applyFill="1" applyBorder="1" applyAlignment="1">
      <alignment horizontal="center" vertical="center" wrapText="1"/>
    </xf>
    <xf numFmtId="49" fontId="18" fillId="4" borderId="22" xfId="26" applyNumberFormat="1" applyFont="1" applyFill="1" applyBorder="1" applyAlignment="1">
      <alignment horizontal="center" vertical="center"/>
    </xf>
    <xf numFmtId="167" fontId="20" fillId="4" borderId="1" xfId="26" applyNumberFormat="1" applyFont="1" applyFill="1" applyBorder="1" applyAlignment="1">
      <alignment horizontal="right" vertical="center" wrapText="1"/>
    </xf>
    <xf numFmtId="0" fontId="18" fillId="4" borderId="1" xfId="29" quotePrefix="1" applyNumberFormat="1" applyFont="1" applyFill="1" applyBorder="1" applyAlignment="1">
      <alignment horizontal="center" vertical="center"/>
    </xf>
    <xf numFmtId="166" fontId="18" fillId="4" borderId="22" xfId="29" applyFont="1" applyFill="1" applyBorder="1" applyAlignment="1">
      <alignment horizontal="center" vertical="center"/>
    </xf>
    <xf numFmtId="166" fontId="18" fillId="4" borderId="22" xfId="29" quotePrefix="1" applyFont="1" applyFill="1" applyBorder="1" applyAlignment="1">
      <alignment horizontal="center" vertical="center"/>
    </xf>
    <xf numFmtId="166" fontId="19" fillId="4" borderId="23" xfId="29" applyFont="1" applyFill="1" applyBorder="1" applyAlignment="1">
      <alignment vertical="center" wrapText="1"/>
    </xf>
    <xf numFmtId="166" fontId="19" fillId="4" borderId="23" xfId="29" applyFont="1" applyFill="1" applyBorder="1" applyAlignment="1">
      <alignment horizontal="center" vertical="center"/>
    </xf>
    <xf numFmtId="167" fontId="19" fillId="4" borderId="23" xfId="29" applyNumberFormat="1" applyFont="1" applyFill="1" applyBorder="1" applyAlignment="1">
      <alignment horizontal="right" vertical="center" wrapText="1"/>
    </xf>
    <xf numFmtId="166" fontId="19" fillId="4" borderId="24" xfId="29" applyFont="1" applyFill="1" applyBorder="1" applyAlignment="1">
      <alignment horizontal="right" vertical="center" wrapText="1"/>
    </xf>
    <xf numFmtId="166" fontId="18" fillId="4" borderId="24" xfId="29" applyFont="1" applyFill="1" applyBorder="1" applyAlignment="1">
      <alignment horizontal="right" vertical="center" wrapText="1"/>
    </xf>
    <xf numFmtId="166" fontId="18" fillId="4" borderId="22" xfId="29" applyFont="1" applyFill="1" applyBorder="1" applyAlignment="1">
      <alignment horizontal="center" vertical="center" wrapText="1"/>
    </xf>
    <xf numFmtId="166" fontId="19" fillId="4" borderId="23" xfId="29" applyFont="1" applyFill="1" applyBorder="1" applyAlignment="1">
      <alignment horizontal="right" vertical="center" wrapText="1"/>
    </xf>
    <xf numFmtId="0" fontId="18" fillId="4" borderId="22" xfId="29" applyNumberFormat="1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0" fontId="18" fillId="4" borderId="1" xfId="26" quotePrefix="1" applyNumberFormat="1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166" fontId="18" fillId="4" borderId="1" xfId="25" applyFont="1" applyFill="1" applyBorder="1" applyAlignment="1">
      <alignment vertical="center"/>
    </xf>
    <xf numFmtId="166" fontId="19" fillId="4" borderId="1" xfId="25" applyFont="1" applyFill="1" applyBorder="1" applyAlignment="1">
      <alignment horizontal="left" vertical="center" wrapText="1"/>
    </xf>
    <xf numFmtId="0" fontId="18" fillId="4" borderId="22" xfId="0" applyFont="1" applyFill="1" applyBorder="1" applyAlignment="1">
      <alignment horizontal="center" vertical="center" wrapText="1"/>
    </xf>
    <xf numFmtId="166" fontId="18" fillId="4" borderId="24" xfId="26" applyFont="1" applyFill="1" applyBorder="1" applyAlignment="1">
      <alignment vertical="center"/>
    </xf>
    <xf numFmtId="0" fontId="18" fillId="4" borderId="22" xfId="26" quotePrefix="1" applyNumberFormat="1" applyFont="1" applyFill="1" applyBorder="1" applyAlignment="1">
      <alignment horizontal="center" vertical="center"/>
    </xf>
    <xf numFmtId="166" fontId="19" fillId="4" borderId="23" xfId="26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166" fontId="12" fillId="0" borderId="1" xfId="25" applyFont="1" applyFill="1" applyBorder="1" applyAlignment="1">
      <alignment horizontal="left" vertical="center" wrapText="1"/>
    </xf>
    <xf numFmtId="166" fontId="15" fillId="0" borderId="1" xfId="25" applyFont="1" applyFill="1" applyBorder="1" applyAlignment="1">
      <alignment horizontal="center" vertical="center"/>
    </xf>
    <xf numFmtId="0" fontId="18" fillId="4" borderId="22" xfId="0" applyFont="1" applyFill="1" applyBorder="1" applyAlignment="1">
      <alignment horizontal="center" vertical="center"/>
    </xf>
    <xf numFmtId="2" fontId="12" fillId="0" borderId="1" xfId="20" applyNumberFormat="1" applyFont="1" applyFill="1" applyBorder="1" applyAlignment="1">
      <alignment horizontal="center" vertical="center"/>
    </xf>
    <xf numFmtId="166" fontId="15" fillId="0" borderId="1" xfId="25" applyFont="1" applyFill="1" applyBorder="1" applyAlignment="1">
      <alignment horizontal="left" vertical="center" wrapText="1"/>
    </xf>
    <xf numFmtId="0" fontId="18" fillId="4" borderId="22" xfId="0" quotePrefix="1" applyFont="1" applyFill="1" applyBorder="1" applyAlignment="1">
      <alignment horizontal="center" vertical="center"/>
    </xf>
    <xf numFmtId="166" fontId="19" fillId="4" borderId="23" xfId="27" applyFont="1" applyFill="1" applyBorder="1" applyAlignment="1">
      <alignment vertical="center"/>
    </xf>
    <xf numFmtId="167" fontId="19" fillId="4" borderId="23" xfId="27" applyNumberFormat="1" applyFont="1" applyFill="1" applyBorder="1" applyAlignment="1">
      <alignment horizontal="right" vertical="center" wrapText="1"/>
    </xf>
    <xf numFmtId="166" fontId="19" fillId="4" borderId="24" xfId="27" applyFont="1" applyFill="1" applyBorder="1" applyAlignment="1">
      <alignment horizontal="right" vertical="center" wrapText="1"/>
    </xf>
    <xf numFmtId="166" fontId="18" fillId="4" borderId="24" xfId="27" applyFont="1" applyFill="1" applyBorder="1" applyAlignment="1">
      <alignment horizontal="right" vertical="center" wrapText="1"/>
    </xf>
    <xf numFmtId="166" fontId="19" fillId="4" borderId="23" xfId="27" applyFont="1" applyFill="1" applyBorder="1" applyAlignment="1">
      <alignment horizontal="right" vertical="center" wrapText="1"/>
    </xf>
    <xf numFmtId="166" fontId="18" fillId="4" borderId="7" xfId="26" quotePrefix="1" applyFont="1" applyFill="1" applyBorder="1" applyAlignment="1">
      <alignment horizontal="center" vertical="center"/>
    </xf>
    <xf numFmtId="166" fontId="19" fillId="4" borderId="8" xfId="26" applyFont="1" applyFill="1" applyBorder="1" applyAlignment="1">
      <alignment horizontal="right" vertical="center" wrapText="1"/>
    </xf>
    <xf numFmtId="166" fontId="18" fillId="4" borderId="8" xfId="26" applyFont="1" applyFill="1" applyBorder="1" applyAlignment="1">
      <alignment horizontal="right" vertical="center" wrapText="1"/>
    </xf>
    <xf numFmtId="0" fontId="18" fillId="4" borderId="7" xfId="0" applyFont="1" applyFill="1" applyBorder="1" applyAlignment="1">
      <alignment horizontal="center" vertical="center"/>
    </xf>
    <xf numFmtId="166" fontId="20" fillId="4" borderId="1" xfId="26" applyFont="1" applyFill="1" applyBorder="1" applyAlignment="1">
      <alignment horizontal="left" vertical="justify"/>
    </xf>
    <xf numFmtId="0" fontId="18" fillId="4" borderId="1" xfId="0" applyFont="1" applyFill="1" applyBorder="1" applyAlignment="1">
      <alignment horizontal="center" vertical="center"/>
    </xf>
    <xf numFmtId="166" fontId="18" fillId="4" borderId="1" xfId="26" applyNumberFormat="1" applyFont="1" applyFill="1" applyBorder="1" applyAlignment="1">
      <alignment horizontal="right" vertical="center" wrapText="1"/>
    </xf>
    <xf numFmtId="166" fontId="26" fillId="4" borderId="1" xfId="29" applyFont="1" applyFill="1" applyBorder="1" applyAlignment="1">
      <alignment vertical="center" wrapText="1"/>
    </xf>
    <xf numFmtId="2" fontId="0" fillId="2" borderId="0" xfId="0" applyNumberFormat="1" applyFont="1" applyFill="1"/>
    <xf numFmtId="0" fontId="18" fillId="4" borderId="22" xfId="0" applyFont="1" applyFill="1" applyBorder="1" applyAlignment="1">
      <alignment horizontal="center" vertical="center"/>
    </xf>
    <xf numFmtId="166" fontId="20" fillId="4" borderId="1" xfId="26" applyFont="1" applyFill="1" applyBorder="1" applyAlignment="1">
      <alignment horizontal="left" vertical="justify" wrapText="1"/>
    </xf>
    <xf numFmtId="0" fontId="18" fillId="4" borderId="22" xfId="26" applyNumberFormat="1" applyFont="1" applyFill="1" applyBorder="1" applyAlignment="1">
      <alignment horizontal="center" vertical="center"/>
    </xf>
    <xf numFmtId="0" fontId="18" fillId="4" borderId="22" xfId="25" applyNumberFormat="1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left" vertical="top" wrapText="1"/>
    </xf>
    <xf numFmtId="0" fontId="28" fillId="0" borderId="0" xfId="0" applyFont="1"/>
    <xf numFmtId="166" fontId="19" fillId="0" borderId="0" xfId="25" applyFont="1" applyFill="1" applyBorder="1" applyAlignment="1">
      <alignment horizontal="right" vertical="center" wrapText="1"/>
    </xf>
    <xf numFmtId="0" fontId="18" fillId="4" borderId="1" xfId="0" applyFont="1" applyFill="1" applyBorder="1" applyAlignment="1">
      <alignment horizontal="center" vertical="center"/>
    </xf>
    <xf numFmtId="2" fontId="12" fillId="0" borderId="1" xfId="20" applyNumberFormat="1" applyFont="1" applyFill="1" applyBorder="1" applyAlignment="1">
      <alignment horizontal="left" vertical="center" wrapText="1"/>
    </xf>
    <xf numFmtId="0" fontId="18" fillId="4" borderId="1" xfId="0" quotePrefix="1" applyFont="1" applyFill="1" applyBorder="1" applyAlignment="1">
      <alignment horizontal="center" vertical="center"/>
    </xf>
    <xf numFmtId="1" fontId="18" fillId="4" borderId="1" xfId="25" applyNumberFormat="1" applyFont="1" applyFill="1" applyBorder="1" applyAlignment="1">
      <alignment horizontal="center" vertical="center"/>
    </xf>
    <xf numFmtId="166" fontId="19" fillId="4" borderId="1" xfId="26" applyFont="1" applyFill="1" applyBorder="1" applyAlignment="1">
      <alignment vertical="center"/>
    </xf>
    <xf numFmtId="1" fontId="18" fillId="4" borderId="1" xfId="29" applyNumberFormat="1" applyFont="1" applyFill="1" applyBorder="1" applyAlignment="1">
      <alignment horizontal="center" vertical="center"/>
    </xf>
    <xf numFmtId="167" fontId="19" fillId="4" borderId="1" xfId="0" applyNumberFormat="1" applyFont="1" applyFill="1" applyBorder="1" applyAlignment="1">
      <alignment horizontal="left" vertical="center" wrapText="1"/>
    </xf>
    <xf numFmtId="167" fontId="19" fillId="4" borderId="1" xfId="0" applyNumberFormat="1" applyFont="1" applyFill="1" applyBorder="1" applyAlignment="1">
      <alignment horizontal="center" vertical="center"/>
    </xf>
    <xf numFmtId="39" fontId="19" fillId="4" borderId="1" xfId="0" applyNumberFormat="1" applyFont="1" applyFill="1" applyBorder="1" applyAlignment="1">
      <alignment horizontal="right" vertical="center"/>
    </xf>
    <xf numFmtId="166" fontId="19" fillId="4" borderId="1" xfId="0" applyNumberFormat="1" applyFont="1" applyFill="1" applyBorder="1" applyAlignment="1">
      <alignment horizontal="left" vertical="center"/>
    </xf>
    <xf numFmtId="166" fontId="18" fillId="4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center"/>
    </xf>
    <xf numFmtId="165" fontId="27" fillId="5" borderId="1" xfId="1" applyFont="1" applyFill="1" applyBorder="1" applyAlignment="1">
      <alignment horizontal="center" vertical="center"/>
    </xf>
    <xf numFmtId="165" fontId="0" fillId="0" borderId="0" xfId="0" applyNumberFormat="1" applyFont="1"/>
    <xf numFmtId="0" fontId="6" fillId="0" borderId="0" xfId="0" applyFont="1" applyFill="1" applyAlignment="1">
      <alignment horizontal="left" vertical="center" wrapText="1"/>
    </xf>
    <xf numFmtId="166" fontId="14" fillId="0" borderId="0" xfId="25" applyFont="1" applyFill="1" applyAlignment="1">
      <alignment horizontal="center" vertical="center" wrapText="1"/>
    </xf>
    <xf numFmtId="0" fontId="14" fillId="0" borderId="0" xfId="22" applyFont="1" applyFill="1" applyAlignment="1">
      <alignment horizontal="center"/>
    </xf>
    <xf numFmtId="165" fontId="27" fillId="6" borderId="0" xfId="1" applyFont="1" applyFill="1" applyBorder="1" applyAlignment="1">
      <alignment horizontal="center" vertical="center"/>
    </xf>
    <xf numFmtId="0" fontId="27" fillId="7" borderId="0" xfId="22" applyFont="1" applyFill="1" applyBorder="1" applyAlignment="1">
      <alignment horizontal="left" vertical="center"/>
    </xf>
    <xf numFmtId="165" fontId="12" fillId="0" borderId="0" xfId="1" applyFont="1" applyFill="1" applyBorder="1"/>
    <xf numFmtId="165" fontId="12" fillId="0" borderId="0" xfId="1" applyFont="1" applyFill="1" applyBorder="1" applyAlignment="1">
      <alignment vertical="center"/>
    </xf>
    <xf numFmtId="165" fontId="14" fillId="0" borderId="0" xfId="1" applyFont="1" applyFill="1" applyBorder="1"/>
    <xf numFmtId="165" fontId="12" fillId="8" borderId="0" xfId="1" applyFont="1" applyFill="1" applyBorder="1"/>
    <xf numFmtId="165" fontId="12" fillId="0" borderId="0" xfId="1" applyFont="1" applyFill="1" applyBorder="1" applyAlignment="1">
      <alignment horizontal="right" vertical="center"/>
    </xf>
    <xf numFmtId="165" fontId="15" fillId="0" borderId="0" xfId="1" applyFont="1" applyFill="1" applyBorder="1" applyAlignment="1">
      <alignment vertical="center"/>
    </xf>
    <xf numFmtId="0" fontId="27" fillId="6" borderId="0" xfId="22" applyFont="1" applyFill="1" applyBorder="1" applyAlignment="1">
      <alignment horizontal="left" vertical="center"/>
    </xf>
    <xf numFmtId="165" fontId="14" fillId="0" borderId="0" xfId="1" applyFont="1" applyFill="1" applyBorder="1" applyAlignment="1">
      <alignment horizontal="right"/>
    </xf>
    <xf numFmtId="165" fontId="12" fillId="0" borderId="0" xfId="1" applyFont="1" applyFill="1" applyBorder="1" applyAlignment="1">
      <alignment horizontal="center" vertical="center"/>
    </xf>
    <xf numFmtId="2" fontId="12" fillId="0" borderId="1" xfId="1" applyNumberFormat="1" applyFont="1" applyFill="1" applyBorder="1" applyAlignment="1">
      <alignment horizontal="right" vertical="center"/>
    </xf>
    <xf numFmtId="4" fontId="12" fillId="0" borderId="1" xfId="1" applyNumberFormat="1" applyFont="1" applyFill="1" applyBorder="1" applyAlignment="1">
      <alignment horizontal="right" vertical="center"/>
    </xf>
    <xf numFmtId="0" fontId="29" fillId="0" borderId="0" xfId="0" applyFont="1" applyAlignment="1">
      <alignment horizontal="center"/>
    </xf>
    <xf numFmtId="165" fontId="14" fillId="0" borderId="1" xfId="1" applyFont="1" applyFill="1" applyBorder="1"/>
    <xf numFmtId="49" fontId="15" fillId="0" borderId="1" xfId="22" applyNumberFormat="1" applyFont="1" applyFill="1" applyBorder="1" applyAlignment="1">
      <alignment horizontal="center" vertical="center"/>
    </xf>
    <xf numFmtId="4" fontId="15" fillId="0" borderId="1" xfId="25" applyNumberFormat="1" applyFont="1" applyFill="1" applyBorder="1" applyAlignment="1">
      <alignment horizontal="right" vertical="center"/>
    </xf>
    <xf numFmtId="0" fontId="15" fillId="0" borderId="0" xfId="0" applyFont="1"/>
    <xf numFmtId="0" fontId="16" fillId="0" borderId="0" xfId="0" applyFont="1"/>
    <xf numFmtId="2" fontId="12" fillId="0" borderId="0" xfId="1" applyNumberFormat="1" applyFont="1" applyFill="1" applyBorder="1" applyAlignment="1">
      <alignment vertical="center"/>
    </xf>
    <xf numFmtId="44" fontId="27" fillId="7" borderId="1" xfId="22" applyNumberFormat="1" applyFont="1" applyFill="1" applyBorder="1" applyAlignment="1">
      <alignment horizontal="left" vertical="center"/>
    </xf>
    <xf numFmtId="44" fontId="0" fillId="0" borderId="0" xfId="0" applyNumberFormat="1" applyFont="1"/>
    <xf numFmtId="44" fontId="6" fillId="0" borderId="0" xfId="0" applyNumberFormat="1" applyFont="1" applyFill="1" applyAlignment="1">
      <alignment horizontal="left" vertical="center" wrapText="1"/>
    </xf>
    <xf numFmtId="165" fontId="14" fillId="9" borderId="1" xfId="1" applyFont="1" applyFill="1" applyBorder="1"/>
    <xf numFmtId="44" fontId="14" fillId="9" borderId="1" xfId="1" applyNumberFormat="1" applyFont="1" applyFill="1" applyBorder="1"/>
    <xf numFmtId="166" fontId="12" fillId="0" borderId="1" xfId="25" applyFont="1" applyFill="1" applyBorder="1" applyAlignment="1">
      <alignment horizontal="center" vertical="center"/>
    </xf>
    <xf numFmtId="0" fontId="12" fillId="0" borderId="1" xfId="22" applyFont="1" applyFill="1" applyBorder="1" applyAlignment="1">
      <alignment horizontal="center" vertical="center"/>
    </xf>
    <xf numFmtId="2" fontId="15" fillId="0" borderId="1" xfId="1" applyNumberFormat="1" applyFont="1" applyFill="1" applyBorder="1" applyAlignment="1">
      <alignment horizontal="right" vertical="center"/>
    </xf>
    <xf numFmtId="166" fontId="15" fillId="0" borderId="1" xfId="25" applyFont="1" applyFill="1" applyBorder="1" applyAlignment="1">
      <alignment horizontal="left" vertical="justify" wrapText="1"/>
    </xf>
    <xf numFmtId="0" fontId="0" fillId="0" borderId="0" xfId="0" applyFont="1" applyAlignment="1">
      <alignment wrapText="1"/>
    </xf>
    <xf numFmtId="44" fontId="12" fillId="0" borderId="1" xfId="1" applyNumberFormat="1" applyFont="1" applyFill="1" applyBorder="1" applyAlignment="1">
      <alignment horizontal="center" vertical="center"/>
    </xf>
    <xf numFmtId="44" fontId="27" fillId="5" borderId="1" xfId="1" applyNumberFormat="1" applyFont="1" applyFill="1" applyBorder="1" applyAlignment="1">
      <alignment horizontal="center" vertical="center" wrapText="1"/>
    </xf>
    <xf numFmtId="0" fontId="13" fillId="2" borderId="0" xfId="0" applyNumberFormat="1" applyFont="1" applyFill="1" applyAlignment="1">
      <alignment vertical="center"/>
    </xf>
    <xf numFmtId="2" fontId="0" fillId="2" borderId="0" xfId="0" applyNumberFormat="1" applyFont="1" applyFill="1" applyAlignment="1">
      <alignment vertical="center"/>
    </xf>
    <xf numFmtId="0" fontId="2" fillId="0" borderId="0" xfId="11"/>
    <xf numFmtId="0" fontId="31" fillId="0" borderId="0" xfId="0" applyFont="1"/>
    <xf numFmtId="0" fontId="31" fillId="0" borderId="0" xfId="0" applyFont="1" applyBorder="1"/>
    <xf numFmtId="0" fontId="32" fillId="10" borderId="1" xfId="0" applyFont="1" applyFill="1" applyBorder="1" applyAlignment="1">
      <alignment horizontal="left" vertical="center"/>
    </xf>
    <xf numFmtId="0" fontId="32" fillId="10" borderId="1" xfId="0" applyFont="1" applyFill="1" applyBorder="1" applyAlignment="1">
      <alignment horizontal="center"/>
    </xf>
    <xf numFmtId="0" fontId="32" fillId="10" borderId="1" xfId="0" applyFont="1" applyFill="1" applyBorder="1"/>
    <xf numFmtId="0" fontId="23" fillId="10" borderId="1" xfId="0" applyFont="1" applyFill="1" applyBorder="1" applyAlignment="1">
      <alignment horizontal="center" vertical="center"/>
    </xf>
    <xf numFmtId="166" fontId="32" fillId="10" borderId="1" xfId="37" applyFont="1" applyFill="1" applyBorder="1" applyAlignment="1">
      <alignment vertical="center"/>
    </xf>
    <xf numFmtId="168" fontId="32" fillId="10" borderId="1" xfId="0" applyNumberFormat="1" applyFont="1" applyFill="1" applyBorder="1" applyAlignment="1">
      <alignment vertical="center"/>
    </xf>
    <xf numFmtId="10" fontId="32" fillId="10" borderId="1" xfId="0" applyNumberFormat="1" applyFont="1" applyFill="1" applyBorder="1" applyAlignment="1">
      <alignment horizontal="center" vertical="center"/>
    </xf>
    <xf numFmtId="168" fontId="32" fillId="10" borderId="1" xfId="24" applyNumberFormat="1" applyFont="1" applyFill="1" applyBorder="1" applyAlignment="1">
      <alignment vertical="center"/>
    </xf>
    <xf numFmtId="165" fontId="15" fillId="11" borderId="0" xfId="1" applyFont="1" applyFill="1" applyBorder="1" applyAlignment="1">
      <alignment vertical="center"/>
    </xf>
    <xf numFmtId="0" fontId="15" fillId="11" borderId="0" xfId="0" applyFont="1" applyFill="1"/>
    <xf numFmtId="0" fontId="0" fillId="11" borderId="0" xfId="0" applyFont="1" applyFill="1"/>
    <xf numFmtId="0" fontId="13" fillId="11" borderId="0" xfId="0" applyFont="1" applyFill="1"/>
    <xf numFmtId="165" fontId="15" fillId="11" borderId="0" xfId="1" applyFont="1" applyFill="1" applyBorder="1"/>
    <xf numFmtId="0" fontId="0" fillId="11" borderId="1" xfId="0" applyFont="1" applyFill="1" applyBorder="1"/>
    <xf numFmtId="0" fontId="13" fillId="11" borderId="1" xfId="0" applyFont="1" applyFill="1" applyBorder="1"/>
    <xf numFmtId="0" fontId="24" fillId="11" borderId="0" xfId="0" applyFont="1" applyFill="1"/>
    <xf numFmtId="0" fontId="27" fillId="0" borderId="0" xfId="22" applyFont="1" applyFill="1" applyBorder="1" applyAlignment="1">
      <alignment horizontal="left" vertical="center"/>
    </xf>
    <xf numFmtId="165" fontId="14" fillId="0" borderId="1" xfId="1" applyFont="1" applyFill="1" applyBorder="1" applyAlignment="1"/>
    <xf numFmtId="0" fontId="0" fillId="0" borderId="0" xfId="0" applyFont="1" applyFill="1" applyAlignment="1">
      <alignment horizontal="left"/>
    </xf>
    <xf numFmtId="166" fontId="15" fillId="0" borderId="1" xfId="37" applyFont="1" applyFill="1" applyBorder="1" applyAlignment="1">
      <alignment horizontal="center" vertical="center"/>
    </xf>
    <xf numFmtId="49" fontId="12" fillId="0" borderId="1" xfId="20" applyNumberFormat="1" applyFont="1" applyFill="1" applyBorder="1" applyAlignment="1">
      <alignment horizontal="center" vertical="center"/>
    </xf>
    <xf numFmtId="49" fontId="15" fillId="0" borderId="1" xfId="20" applyNumberFormat="1" applyFont="1" applyFill="1" applyBorder="1" applyAlignment="1">
      <alignment horizontal="center" vertical="center" wrapText="1"/>
    </xf>
    <xf numFmtId="165" fontId="12" fillId="0" borderId="1" xfId="1" applyFont="1" applyFill="1" applyBorder="1" applyAlignment="1">
      <alignment horizontal="center" vertical="center"/>
    </xf>
    <xf numFmtId="2" fontId="12" fillId="0" borderId="1" xfId="1" applyNumberFormat="1" applyFont="1" applyFill="1" applyBorder="1" applyAlignment="1">
      <alignment horizontal="center" vertical="center"/>
    </xf>
    <xf numFmtId="166" fontId="14" fillId="0" borderId="0" xfId="25" applyFont="1" applyFill="1" applyAlignment="1">
      <alignment horizontal="center" vertical="center" wrapText="1"/>
    </xf>
    <xf numFmtId="0" fontId="27" fillId="7" borderId="1" xfId="22" applyFont="1" applyFill="1" applyBorder="1" applyAlignment="1">
      <alignment horizontal="center" vertical="center" wrapText="1"/>
    </xf>
    <xf numFmtId="0" fontId="0" fillId="11" borderId="5" xfId="0" applyFont="1" applyFill="1" applyBorder="1"/>
    <xf numFmtId="0" fontId="27" fillId="5" borderId="1" xfId="22" applyFont="1" applyFill="1" applyBorder="1" applyAlignment="1">
      <alignment horizontal="center" vertical="center"/>
    </xf>
    <xf numFmtId="2" fontId="12" fillId="0" borderId="1" xfId="1" applyNumberFormat="1" applyFont="1" applyFill="1" applyBorder="1"/>
    <xf numFmtId="44" fontId="12" fillId="0" borderId="1" xfId="1" applyNumberFormat="1" applyFont="1" applyFill="1" applyBorder="1"/>
    <xf numFmtId="165" fontId="12" fillId="0" borderId="1" xfId="1" applyFont="1" applyFill="1" applyBorder="1"/>
    <xf numFmtId="44" fontId="12" fillId="0" borderId="1" xfId="1" applyNumberFormat="1" applyFont="1" applyFill="1" applyBorder="1" applyAlignment="1">
      <alignment vertical="center"/>
    </xf>
    <xf numFmtId="165" fontId="12" fillId="0" borderId="1" xfId="1" applyFont="1" applyFill="1" applyBorder="1" applyAlignment="1">
      <alignment vertical="center"/>
    </xf>
    <xf numFmtId="44" fontId="27" fillId="6" borderId="1" xfId="22" applyNumberFormat="1" applyFont="1" applyFill="1" applyBorder="1" applyAlignment="1">
      <alignment horizontal="left" vertical="center"/>
    </xf>
    <xf numFmtId="165" fontId="14" fillId="0" borderId="1" xfId="1" applyFont="1" applyFill="1" applyBorder="1" applyAlignment="1">
      <alignment horizontal="right"/>
    </xf>
    <xf numFmtId="0" fontId="28" fillId="0" borderId="0" xfId="22" applyFont="1" applyFill="1" applyBorder="1" applyAlignment="1"/>
    <xf numFmtId="0" fontId="28" fillId="0" borderId="0" xfId="22" applyFont="1" applyFill="1" applyAlignment="1"/>
    <xf numFmtId="0" fontId="18" fillId="0" borderId="0" xfId="0" applyFont="1" applyAlignment="1"/>
    <xf numFmtId="166" fontId="33" fillId="0" borderId="0" xfId="0" applyNumberFormat="1" applyFont="1"/>
    <xf numFmtId="2" fontId="15" fillId="0" borderId="1" xfId="2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11" applyFont="1"/>
    <xf numFmtId="0" fontId="28" fillId="0" borderId="0" xfId="0" applyFont="1" applyAlignment="1">
      <alignment horizontal="center"/>
    </xf>
    <xf numFmtId="0" fontId="18" fillId="12" borderId="1" xfId="0" applyFont="1" applyFill="1" applyBorder="1" applyAlignment="1">
      <alignment horizontal="center" vertical="center"/>
    </xf>
    <xf numFmtId="166" fontId="18" fillId="0" borderId="1" xfId="29" applyFont="1" applyFill="1" applyBorder="1" applyAlignment="1">
      <alignment horizontal="center" vertical="center" wrapText="1"/>
    </xf>
    <xf numFmtId="49" fontId="18" fillId="0" borderId="1" xfId="26" quotePrefix="1" applyNumberFormat="1" applyFont="1" applyFill="1" applyBorder="1" applyAlignment="1">
      <alignment horizontal="center" vertical="center"/>
    </xf>
    <xf numFmtId="166" fontId="18" fillId="0" borderId="1" xfId="26" quotePrefix="1" applyFont="1" applyFill="1" applyBorder="1" applyAlignment="1">
      <alignment horizontal="center" vertical="center"/>
    </xf>
    <xf numFmtId="0" fontId="18" fillId="0" borderId="1" xfId="26" applyNumberFormat="1" applyFont="1" applyFill="1" applyBorder="1" applyAlignment="1">
      <alignment horizontal="center" vertical="center" wrapText="1"/>
    </xf>
    <xf numFmtId="166" fontId="18" fillId="0" borderId="1" xfId="29" applyFont="1" applyFill="1" applyBorder="1" applyAlignment="1">
      <alignment horizontal="center" vertical="center"/>
    </xf>
    <xf numFmtId="49" fontId="18" fillId="0" borderId="1" xfId="26" applyNumberFormat="1" applyFont="1" applyFill="1" applyBorder="1" applyAlignment="1">
      <alignment horizontal="center" vertical="center" wrapText="1"/>
    </xf>
    <xf numFmtId="49" fontId="18" fillId="8" borderId="1" xfId="26" applyNumberFormat="1" applyFont="1" applyFill="1" applyBorder="1" applyAlignment="1">
      <alignment horizontal="center" vertical="center"/>
    </xf>
    <xf numFmtId="166" fontId="18" fillId="0" borderId="1" xfId="25" applyFont="1" applyFill="1" applyBorder="1" applyAlignment="1">
      <alignment horizontal="center" vertical="center"/>
    </xf>
    <xf numFmtId="166" fontId="28" fillId="0" borderId="1" xfId="25" quotePrefix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49" fontId="28" fillId="0" borderId="1" xfId="26" applyNumberFormat="1" applyFont="1" applyFill="1" applyBorder="1" applyAlignment="1">
      <alignment horizontal="center" vertical="center" wrapText="1"/>
    </xf>
    <xf numFmtId="0" fontId="18" fillId="13" borderId="1" xfId="0" applyFont="1" applyFill="1" applyBorder="1" applyAlignment="1">
      <alignment horizontal="center" vertical="center"/>
    </xf>
    <xf numFmtId="0" fontId="18" fillId="0" borderId="1" xfId="26" quotePrefix="1" applyNumberFormat="1" applyFont="1" applyFill="1" applyBorder="1" applyAlignment="1">
      <alignment horizontal="center" vertical="center"/>
    </xf>
    <xf numFmtId="0" fontId="18" fillId="0" borderId="1" xfId="25" quotePrefix="1" applyNumberFormat="1" applyFont="1" applyFill="1" applyBorder="1" applyAlignment="1">
      <alignment horizontal="center" vertical="center"/>
    </xf>
    <xf numFmtId="166" fontId="18" fillId="0" borderId="1" xfId="29" quotePrefix="1" applyFont="1" applyFill="1" applyBorder="1" applyAlignment="1">
      <alignment horizontal="center" vertical="center"/>
    </xf>
    <xf numFmtId="166" fontId="19" fillId="0" borderId="1" xfId="27" applyFont="1" applyFill="1" applyBorder="1" applyAlignment="1">
      <alignment vertical="center"/>
    </xf>
    <xf numFmtId="166" fontId="19" fillId="0" borderId="1" xfId="26" applyFont="1" applyFill="1" applyBorder="1" applyAlignment="1">
      <alignment horizontal="right" vertical="center" wrapText="1"/>
    </xf>
    <xf numFmtId="166" fontId="19" fillId="0" borderId="1" xfId="26" applyFont="1" applyFill="1" applyBorder="1" applyAlignment="1">
      <alignment horizontal="center" vertical="center"/>
    </xf>
    <xf numFmtId="167" fontId="19" fillId="0" borderId="1" xfId="26" applyNumberFormat="1" applyFont="1" applyFill="1" applyBorder="1" applyAlignment="1">
      <alignment horizontal="right" vertical="center" wrapText="1"/>
    </xf>
    <xf numFmtId="166" fontId="18" fillId="0" borderId="1" xfId="26" applyFont="1" applyFill="1" applyBorder="1" applyAlignment="1">
      <alignment vertical="center"/>
    </xf>
    <xf numFmtId="166" fontId="19" fillId="0" borderId="1" xfId="26" applyFont="1" applyFill="1" applyBorder="1" applyAlignment="1">
      <alignment horizontal="left" vertical="center" wrapText="1"/>
    </xf>
    <xf numFmtId="166" fontId="18" fillId="0" borderId="1" xfId="25" applyFont="1" applyFill="1" applyBorder="1" applyAlignment="1">
      <alignment horizontal="right" vertical="center" wrapText="1"/>
    </xf>
    <xf numFmtId="166" fontId="20" fillId="0" borderId="1" xfId="25" applyFont="1" applyFill="1" applyBorder="1" applyAlignment="1">
      <alignment horizontal="center" vertical="center"/>
    </xf>
    <xf numFmtId="167" fontId="20" fillId="0" borderId="1" xfId="29" applyNumberFormat="1" applyFont="1" applyFill="1" applyBorder="1" applyAlignment="1">
      <alignment horizontal="right" vertical="center" wrapText="1"/>
    </xf>
    <xf numFmtId="166" fontId="20" fillId="0" borderId="1" xfId="25" applyFont="1" applyFill="1" applyBorder="1" applyAlignment="1">
      <alignment horizontal="right" vertical="center" wrapText="1"/>
    </xf>
    <xf numFmtId="166" fontId="28" fillId="0" borderId="1" xfId="25" applyFont="1" applyFill="1" applyBorder="1" applyAlignment="1">
      <alignment horizontal="right" vertical="center" wrapText="1"/>
    </xf>
    <xf numFmtId="166" fontId="20" fillId="0" borderId="1" xfId="25" applyFont="1" applyFill="1" applyBorder="1" applyAlignment="1">
      <alignment vertical="center" wrapText="1"/>
    </xf>
    <xf numFmtId="166" fontId="20" fillId="0" borderId="1" xfId="29" applyFont="1" applyFill="1" applyBorder="1" applyAlignment="1">
      <alignment horizontal="center" vertical="center"/>
    </xf>
    <xf numFmtId="167" fontId="20" fillId="0" borderId="1" xfId="25" applyNumberFormat="1" applyFont="1" applyFill="1" applyBorder="1" applyAlignment="1">
      <alignment horizontal="right" vertical="center" wrapText="1"/>
    </xf>
    <xf numFmtId="166" fontId="20" fillId="0" borderId="1" xfId="26" applyFont="1" applyFill="1" applyBorder="1" applyAlignment="1">
      <alignment horizontal="right" vertical="center" wrapText="1"/>
    </xf>
    <xf numFmtId="43" fontId="28" fillId="0" borderId="1" xfId="25" applyNumberFormat="1" applyFont="1" applyFill="1" applyBorder="1" applyAlignment="1">
      <alignment horizontal="right" vertical="center" wrapText="1"/>
    </xf>
    <xf numFmtId="166" fontId="19" fillId="8" borderId="1" xfId="27" applyFont="1" applyFill="1" applyBorder="1" applyAlignment="1">
      <alignment vertical="center" wrapText="1"/>
    </xf>
    <xf numFmtId="166" fontId="18" fillId="0" borderId="1" xfId="29" applyFont="1" applyFill="1" applyBorder="1" applyAlignment="1">
      <alignment horizontal="right" vertical="center" wrapText="1"/>
    </xf>
    <xf numFmtId="0" fontId="19" fillId="0" borderId="23" xfId="0" applyFont="1" applyFill="1" applyBorder="1" applyAlignment="1">
      <alignment horizontal="center" vertical="center"/>
    </xf>
    <xf numFmtId="166" fontId="20" fillId="0" borderId="1" xfId="25" applyFont="1" applyFill="1" applyBorder="1" applyAlignment="1">
      <alignment horizontal="center" vertical="center" wrapText="1"/>
    </xf>
    <xf numFmtId="169" fontId="20" fillId="0" borderId="1" xfId="29" applyNumberFormat="1" applyFont="1" applyFill="1" applyBorder="1" applyAlignment="1">
      <alignment horizontal="right" vertical="center" wrapText="1"/>
    </xf>
    <xf numFmtId="44" fontId="20" fillId="0" borderId="1" xfId="26" applyNumberFormat="1" applyFont="1" applyFill="1" applyBorder="1" applyAlignment="1">
      <alignment horizontal="right" vertical="center" wrapText="1"/>
    </xf>
    <xf numFmtId="44" fontId="20" fillId="0" borderId="1" xfId="25" applyNumberFormat="1" applyFont="1" applyFill="1" applyBorder="1" applyAlignment="1">
      <alignment horizontal="right" vertical="center" wrapText="1"/>
    </xf>
    <xf numFmtId="44" fontId="18" fillId="0" borderId="1" xfId="29" applyNumberFormat="1" applyFont="1" applyFill="1" applyBorder="1" applyAlignment="1">
      <alignment horizontal="right" vertical="center" wrapText="1"/>
    </xf>
    <xf numFmtId="49" fontId="15" fillId="0" borderId="1" xfId="22" applyNumberFormat="1" applyFont="1" applyFill="1" applyBorder="1" applyAlignment="1">
      <alignment horizontal="center" vertical="center" wrapText="1"/>
    </xf>
    <xf numFmtId="0" fontId="0" fillId="8" borderId="0" xfId="0" applyFont="1" applyFill="1" applyBorder="1" applyAlignment="1">
      <alignment horizontal="left"/>
    </xf>
    <xf numFmtId="0" fontId="0" fillId="8" borderId="0" xfId="0" applyFont="1" applyFill="1" applyAlignment="1">
      <alignment wrapText="1"/>
    </xf>
    <xf numFmtId="0" fontId="0" fillId="8" borderId="0" xfId="0" applyFont="1" applyFill="1" applyAlignment="1">
      <alignment horizontal="center" vertical="center"/>
    </xf>
    <xf numFmtId="165" fontId="12" fillId="8" borderId="0" xfId="1" applyFont="1" applyFill="1"/>
    <xf numFmtId="44" fontId="12" fillId="8" borderId="0" xfId="1" applyNumberFormat="1" applyFont="1" applyFill="1"/>
    <xf numFmtId="0" fontId="0" fillId="8" borderId="0" xfId="0" applyFont="1" applyFill="1" applyAlignment="1">
      <alignment horizontal="left"/>
    </xf>
    <xf numFmtId="0" fontId="14" fillId="8" borderId="0" xfId="22" applyFont="1" applyFill="1" applyAlignment="1">
      <alignment horizontal="center" wrapText="1"/>
    </xf>
    <xf numFmtId="0" fontId="14" fillId="8" borderId="0" xfId="22" applyFont="1" applyFill="1" applyAlignment="1">
      <alignment horizontal="center"/>
    </xf>
    <xf numFmtId="166" fontId="14" fillId="8" borderId="0" xfId="25" applyFont="1" applyFill="1" applyAlignment="1">
      <alignment horizontal="center" vertical="center" wrapText="1"/>
    </xf>
    <xf numFmtId="0" fontId="14" fillId="8" borderId="0" xfId="0" applyFont="1" applyFill="1" applyBorder="1" applyAlignment="1"/>
    <xf numFmtId="0" fontId="14" fillId="8" borderId="0" xfId="25" applyNumberFormat="1" applyFont="1" applyFill="1" applyAlignment="1">
      <alignment vertical="center"/>
    </xf>
    <xf numFmtId="0" fontId="14" fillId="8" borderId="0" xfId="25" applyNumberFormat="1" applyFont="1" applyFill="1" applyAlignment="1">
      <alignment vertical="center" wrapText="1"/>
    </xf>
    <xf numFmtId="44" fontId="14" fillId="8" borderId="0" xfId="25" applyNumberFormat="1" applyFont="1" applyFill="1" applyAlignment="1">
      <alignment horizontal="center" vertical="center" wrapText="1"/>
    </xf>
    <xf numFmtId="44" fontId="19" fillId="8" borderId="1" xfId="29" applyNumberFormat="1" applyFont="1" applyFill="1" applyBorder="1" applyAlignment="1">
      <alignment horizontal="right" vertical="center" wrapText="1"/>
    </xf>
    <xf numFmtId="44" fontId="19" fillId="8" borderId="1" xfId="26" applyNumberFormat="1" applyFont="1" applyFill="1" applyBorder="1" applyAlignment="1">
      <alignment horizontal="right" vertical="center" wrapText="1"/>
    </xf>
    <xf numFmtId="44" fontId="19" fillId="0" borderId="1" xfId="26" applyNumberFormat="1" applyFont="1" applyFill="1" applyBorder="1" applyAlignment="1">
      <alignment horizontal="right" vertical="center" wrapText="1"/>
    </xf>
    <xf numFmtId="0" fontId="18" fillId="0" borderId="1" xfId="26" applyNumberFormat="1" applyFont="1" applyFill="1" applyBorder="1" applyAlignment="1">
      <alignment horizontal="center" vertical="center"/>
    </xf>
    <xf numFmtId="169" fontId="19" fillId="0" borderId="1" xfId="26" applyNumberFormat="1" applyFont="1" applyFill="1" applyBorder="1" applyAlignment="1">
      <alignment horizontal="right" vertical="center" wrapText="1"/>
    </xf>
    <xf numFmtId="44" fontId="18" fillId="0" borderId="1" xfId="26" applyNumberFormat="1" applyFont="1" applyFill="1" applyBorder="1" applyAlignment="1">
      <alignment horizontal="right" vertical="center" wrapText="1"/>
    </xf>
    <xf numFmtId="44" fontId="19" fillId="8" borderId="1" xfId="29" applyNumberFormat="1" applyFont="1" applyFill="1" applyBorder="1" applyAlignment="1">
      <alignment horizontal="center" vertical="center" wrapText="1"/>
    </xf>
    <xf numFmtId="44" fontId="19" fillId="8" borderId="1" xfId="25" applyNumberFormat="1" applyFont="1" applyFill="1" applyBorder="1" applyAlignment="1">
      <alignment horizontal="right" vertical="center" wrapText="1"/>
    </xf>
    <xf numFmtId="166" fontId="14" fillId="8" borderId="0" xfId="25" applyFont="1" applyFill="1" applyAlignment="1">
      <alignment horizontal="center" vertical="center" wrapText="1"/>
    </xf>
    <xf numFmtId="9" fontId="27" fillId="7" borderId="0" xfId="22" applyNumberFormat="1" applyFont="1" applyFill="1" applyBorder="1" applyAlignment="1">
      <alignment horizontal="left" vertical="center"/>
    </xf>
    <xf numFmtId="2" fontId="12" fillId="0" borderId="0" xfId="1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170" fontId="15" fillId="0" borderId="1" xfId="25" applyNumberFormat="1" applyFont="1" applyFill="1" applyBorder="1" applyAlignment="1">
      <alignment horizontal="left" vertical="center" wrapText="1"/>
    </xf>
    <xf numFmtId="43" fontId="0" fillId="0" borderId="0" xfId="0" applyNumberFormat="1" applyFont="1"/>
    <xf numFmtId="165" fontId="16" fillId="0" borderId="0" xfId="0" applyNumberFormat="1" applyFont="1"/>
    <xf numFmtId="0" fontId="19" fillId="0" borderId="1" xfId="0" applyFont="1" applyFill="1" applyBorder="1" applyAlignment="1">
      <alignment horizontal="center" vertical="center"/>
    </xf>
    <xf numFmtId="169" fontId="19" fillId="0" borderId="1" xfId="27" applyNumberFormat="1" applyFont="1" applyFill="1" applyBorder="1" applyAlignment="1">
      <alignment horizontal="right" vertical="center" wrapText="1"/>
    </xf>
    <xf numFmtId="44" fontId="19" fillId="0" borderId="1" xfId="27" applyNumberFormat="1" applyFont="1" applyFill="1" applyBorder="1" applyAlignment="1">
      <alignment horizontal="right" vertical="center" wrapText="1"/>
    </xf>
    <xf numFmtId="44" fontId="18" fillId="0" borderId="1" xfId="27" applyNumberFormat="1" applyFont="1" applyFill="1" applyBorder="1" applyAlignment="1">
      <alignment horizontal="right" vertical="center" wrapText="1"/>
    </xf>
    <xf numFmtId="166" fontId="19" fillId="0" borderId="1" xfId="27" applyFont="1" applyFill="1" applyBorder="1" applyAlignment="1">
      <alignment vertical="center" wrapText="1"/>
    </xf>
    <xf numFmtId="166" fontId="19" fillId="8" borderId="1" xfId="27" applyFont="1" applyFill="1" applyBorder="1" applyAlignment="1">
      <alignment vertical="center"/>
    </xf>
    <xf numFmtId="44" fontId="19" fillId="8" borderId="23" xfId="25" applyNumberFormat="1" applyFont="1" applyFill="1" applyBorder="1" applyAlignment="1">
      <alignment horizontal="right" vertical="center" wrapText="1"/>
    </xf>
    <xf numFmtId="44" fontId="18" fillId="0" borderId="1" xfId="26" applyNumberFormat="1" applyFont="1" applyFill="1" applyBorder="1" applyAlignment="1">
      <alignment vertical="center"/>
    </xf>
    <xf numFmtId="44" fontId="19" fillId="8" borderId="1" xfId="26" applyNumberFormat="1" applyFont="1" applyFill="1" applyBorder="1" applyAlignment="1">
      <alignment horizontal="center" vertical="center" wrapText="1"/>
    </xf>
    <xf numFmtId="44" fontId="19" fillId="8" borderId="1" xfId="0" applyNumberFormat="1" applyFont="1" applyFill="1" applyBorder="1" applyAlignment="1">
      <alignment horizontal="right" vertical="center"/>
    </xf>
    <xf numFmtId="44" fontId="20" fillId="8" borderId="1" xfId="29" applyNumberFormat="1" applyFont="1" applyFill="1" applyBorder="1" applyAlignment="1">
      <alignment horizontal="center" vertical="center" wrapText="1"/>
    </xf>
    <xf numFmtId="44" fontId="20" fillId="8" borderId="1" xfId="27" applyNumberFormat="1" applyFont="1" applyFill="1" applyBorder="1" applyAlignment="1">
      <alignment horizontal="right" vertical="center" wrapText="1"/>
    </xf>
    <xf numFmtId="44" fontId="28" fillId="8" borderId="1" xfId="27" applyNumberFormat="1" applyFont="1" applyFill="1" applyBorder="1" applyAlignment="1">
      <alignment horizontal="right" vertical="center" wrapText="1"/>
    </xf>
    <xf numFmtId="44" fontId="20" fillId="8" borderId="1" xfId="0" applyNumberFormat="1" applyFont="1" applyFill="1" applyBorder="1" applyAlignment="1">
      <alignment horizontal="left" vertical="center"/>
    </xf>
    <xf numFmtId="169" fontId="19" fillId="0" borderId="1" xfId="29" applyNumberFormat="1" applyFont="1" applyBorder="1" applyAlignment="1">
      <alignment horizontal="right" vertical="center"/>
    </xf>
    <xf numFmtId="44" fontId="20" fillId="8" borderId="1" xfId="29" applyNumberFormat="1" applyFont="1" applyFill="1" applyBorder="1" applyAlignment="1">
      <alignment vertical="center"/>
    </xf>
    <xf numFmtId="44" fontId="28" fillId="0" borderId="1" xfId="25" applyNumberFormat="1" applyFont="1" applyFill="1" applyBorder="1" applyAlignment="1">
      <alignment horizontal="right" vertical="center" wrapText="1"/>
    </xf>
    <xf numFmtId="166" fontId="20" fillId="0" borderId="1" xfId="29" applyFont="1" applyBorder="1" applyAlignment="1">
      <alignment vertical="center" wrapText="1"/>
    </xf>
    <xf numFmtId="166" fontId="20" fillId="0" borderId="1" xfId="29" applyFont="1" applyBorder="1" applyAlignment="1">
      <alignment horizontal="center" vertical="center"/>
    </xf>
    <xf numFmtId="169" fontId="20" fillId="0" borderId="1" xfId="29" applyNumberFormat="1" applyFont="1" applyBorder="1" applyAlignment="1">
      <alignment horizontal="right" vertical="center" wrapText="1"/>
    </xf>
    <xf numFmtId="44" fontId="18" fillId="0" borderId="1" xfId="29" applyNumberFormat="1" applyFont="1" applyBorder="1" applyAlignment="1">
      <alignment vertical="center"/>
    </xf>
    <xf numFmtId="0" fontId="18" fillId="0" borderId="1" xfId="0" quotePrefix="1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 wrapText="1"/>
    </xf>
    <xf numFmtId="166" fontId="28" fillId="0" borderId="1" xfId="25" quotePrefix="1" applyFont="1" applyFill="1" applyBorder="1" applyAlignment="1">
      <alignment horizontal="center" vertical="center" wrapText="1"/>
    </xf>
    <xf numFmtId="166" fontId="28" fillId="8" borderId="1" xfId="27" applyFont="1" applyFill="1" applyBorder="1" applyAlignment="1">
      <alignment horizontal="center" vertical="center"/>
    </xf>
    <xf numFmtId="166" fontId="28" fillId="8" borderId="1" xfId="27" quotePrefix="1" applyFont="1" applyFill="1" applyBorder="1" applyAlignment="1">
      <alignment horizontal="center" vertical="center"/>
    </xf>
    <xf numFmtId="0" fontId="18" fillId="0" borderId="1" xfId="22" applyFont="1" applyFill="1" applyBorder="1" applyAlignment="1">
      <alignment horizontal="center" vertical="center"/>
    </xf>
    <xf numFmtId="0" fontId="18" fillId="0" borderId="1" xfId="29" applyNumberFormat="1" applyFont="1" applyFill="1" applyBorder="1" applyAlignment="1">
      <alignment horizontal="center" vertical="center" wrapText="1"/>
    </xf>
    <xf numFmtId="172" fontId="0" fillId="0" borderId="0" xfId="0" applyNumberFormat="1" applyFont="1"/>
    <xf numFmtId="0" fontId="37" fillId="0" borderId="0" xfId="0" applyFont="1" applyAlignment="1">
      <alignment horizontal="center" vertical="center" wrapText="1"/>
    </xf>
    <xf numFmtId="0" fontId="32" fillId="10" borderId="1" xfId="0" applyFont="1" applyFill="1" applyBorder="1" applyAlignment="1">
      <alignment horizontal="left" vertical="center"/>
    </xf>
    <xf numFmtId="2" fontId="12" fillId="0" borderId="0" xfId="1" applyNumberFormat="1" applyFont="1" applyFill="1" applyBorder="1"/>
    <xf numFmtId="0" fontId="27" fillId="7" borderId="1" xfId="22" applyFont="1" applyFill="1" applyBorder="1" applyAlignment="1">
      <alignment horizontal="left" vertical="center"/>
    </xf>
    <xf numFmtId="0" fontId="27" fillId="6" borderId="1" xfId="22" applyFont="1" applyFill="1" applyBorder="1" applyAlignment="1">
      <alignment horizontal="left" vertical="center"/>
    </xf>
    <xf numFmtId="0" fontId="27" fillId="7" borderId="1" xfId="22" applyFont="1" applyFill="1" applyBorder="1" applyAlignment="1">
      <alignment vertical="center"/>
    </xf>
    <xf numFmtId="0" fontId="27" fillId="0" borderId="0" xfId="0" applyFont="1" applyFill="1" applyBorder="1" applyAlignment="1">
      <alignment horizontal="center"/>
    </xf>
    <xf numFmtId="0" fontId="14" fillId="0" borderId="0" xfId="0" applyFont="1" applyFill="1" applyBorder="1" applyAlignment="1"/>
    <xf numFmtId="44" fontId="12" fillId="0" borderId="0" xfId="1" applyNumberFormat="1" applyFont="1" applyFill="1"/>
    <xf numFmtId="44" fontId="14" fillId="0" borderId="0" xfId="25" applyNumberFormat="1" applyFont="1" applyFill="1" applyAlignment="1">
      <alignment horizontal="center" vertical="center" wrapText="1"/>
    </xf>
    <xf numFmtId="44" fontId="12" fillId="0" borderId="1" xfId="1" applyNumberFormat="1" applyFont="1" applyFill="1" applyBorder="1" applyAlignment="1">
      <alignment horizontal="right" vertical="center"/>
    </xf>
    <xf numFmtId="44" fontId="12" fillId="0" borderId="1" xfId="25" applyNumberFormat="1" applyFont="1" applyFill="1" applyBorder="1" applyAlignment="1">
      <alignment horizontal="center" vertical="center"/>
    </xf>
    <xf numFmtId="44" fontId="12" fillId="0" borderId="1" xfId="22" applyNumberFormat="1" applyFont="1" applyFill="1" applyBorder="1" applyAlignment="1">
      <alignment horizontal="right" vertical="center"/>
    </xf>
    <xf numFmtId="44" fontId="0" fillId="0" borderId="0" xfId="0" applyNumberFormat="1" applyFont="1" applyFill="1"/>
    <xf numFmtId="44" fontId="18" fillId="17" borderId="1" xfId="27" applyNumberFormat="1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left" vertical="center" wrapText="1"/>
    </xf>
    <xf numFmtId="166" fontId="0" fillId="0" borderId="1" xfId="25" applyFont="1" applyFill="1" applyBorder="1" applyAlignment="1">
      <alignment horizontal="left" vertical="center" wrapText="1"/>
    </xf>
    <xf numFmtId="0" fontId="0" fillId="0" borderId="1" xfId="22" applyFont="1" applyFill="1" applyBorder="1" applyAlignment="1">
      <alignment horizontal="center" vertical="center"/>
    </xf>
    <xf numFmtId="49" fontId="0" fillId="0" borderId="1" xfId="22" applyNumberFormat="1" applyFont="1" applyFill="1" applyBorder="1" applyAlignment="1">
      <alignment horizontal="center" vertical="center"/>
    </xf>
    <xf numFmtId="2" fontId="0" fillId="0" borderId="1" xfId="21" applyNumberFormat="1" applyFont="1" applyFill="1" applyBorder="1" applyAlignment="1">
      <alignment horizontal="justify" vertical="center" wrapText="1"/>
    </xf>
    <xf numFmtId="165" fontId="0" fillId="0" borderId="0" xfId="1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28" fillId="0" borderId="0" xfId="22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44" fontId="18" fillId="17" borderId="1" xfId="26" applyNumberFormat="1" applyFont="1" applyFill="1" applyBorder="1" applyAlignment="1">
      <alignment vertical="center"/>
    </xf>
    <xf numFmtId="166" fontId="0" fillId="0" borderId="1" xfId="25" applyFont="1" applyFill="1" applyBorder="1" applyAlignment="1">
      <alignment horizontal="left" wrapText="1"/>
    </xf>
    <xf numFmtId="0" fontId="12" fillId="0" borderId="1" xfId="22" applyFont="1" applyFill="1" applyBorder="1" applyAlignment="1">
      <alignment horizontal="center" vertical="center" wrapText="1"/>
    </xf>
    <xf numFmtId="44" fontId="19" fillId="8" borderId="0" xfId="25" applyNumberFormat="1" applyFont="1" applyFill="1" applyBorder="1" applyAlignment="1">
      <alignment horizontal="right" vertical="center" wrapText="1"/>
    </xf>
    <xf numFmtId="165" fontId="29" fillId="0" borderId="0" xfId="1" applyFont="1" applyFill="1" applyBorder="1"/>
    <xf numFmtId="169" fontId="19" fillId="0" borderId="1" xfId="26" applyNumberFormat="1" applyFont="1" applyFill="1" applyBorder="1" applyAlignment="1">
      <alignment horizontal="center" vertical="center" wrapText="1"/>
    </xf>
    <xf numFmtId="0" fontId="14" fillId="9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left" vertical="center"/>
    </xf>
    <xf numFmtId="44" fontId="28" fillId="17" borderId="1" xfId="0" applyNumberFormat="1" applyFont="1" applyFill="1" applyBorder="1" applyAlignment="1">
      <alignment wrapText="1"/>
    </xf>
    <xf numFmtId="0" fontId="0" fillId="0" borderId="1" xfId="22" applyFont="1" applyFill="1" applyBorder="1" applyAlignment="1">
      <alignment horizontal="center" vertical="center" wrapText="1"/>
    </xf>
    <xf numFmtId="44" fontId="19" fillId="0" borderId="23" xfId="25" applyNumberFormat="1" applyFont="1" applyFill="1" applyBorder="1" applyAlignment="1">
      <alignment horizontal="right" vertical="center" wrapText="1"/>
    </xf>
    <xf numFmtId="0" fontId="14" fillId="5" borderId="1" xfId="22" applyFont="1" applyFill="1" applyBorder="1" applyAlignment="1">
      <alignment horizontal="center" vertical="center"/>
    </xf>
    <xf numFmtId="165" fontId="14" fillId="5" borderId="1" xfId="1" applyFont="1" applyFill="1" applyBorder="1" applyAlignment="1"/>
    <xf numFmtId="43" fontId="24" fillId="11" borderId="0" xfId="0" applyNumberFormat="1" applyFont="1" applyFill="1"/>
    <xf numFmtId="44" fontId="15" fillId="0" borderId="1" xfId="25" applyNumberFormat="1" applyFont="1" applyFill="1" applyBorder="1" applyAlignment="1">
      <alignment horizontal="right" vertical="center"/>
    </xf>
    <xf numFmtId="165" fontId="27" fillId="9" borderId="1" xfId="1" applyFont="1" applyFill="1" applyBorder="1" applyAlignment="1">
      <alignment horizontal="center" vertical="center"/>
    </xf>
    <xf numFmtId="0" fontId="18" fillId="0" borderId="1" xfId="26" quotePrefix="1" applyNumberFormat="1" applyFont="1" applyFill="1" applyBorder="1" applyAlignment="1">
      <alignment horizontal="center" vertical="center" wrapText="1"/>
    </xf>
    <xf numFmtId="165" fontId="14" fillId="12" borderId="1" xfId="1" applyFont="1" applyFill="1" applyBorder="1"/>
    <xf numFmtId="0" fontId="14" fillId="0" borderId="0" xfId="25" applyNumberFormat="1" applyFont="1" applyFill="1" applyBorder="1" applyAlignment="1">
      <alignment vertical="center"/>
    </xf>
    <xf numFmtId="0" fontId="14" fillId="0" borderId="0" xfId="0" applyFont="1" applyBorder="1" applyAlignment="1"/>
    <xf numFmtId="0" fontId="0" fillId="0" borderId="0" xfId="0" applyFont="1" applyBorder="1" applyAlignment="1"/>
    <xf numFmtId="0" fontId="18" fillId="18" borderId="1" xfId="0" applyFont="1" applyFill="1" applyBorder="1" applyAlignment="1">
      <alignment horizontal="center" vertical="center" wrapText="1"/>
    </xf>
    <xf numFmtId="2" fontId="18" fillId="18" borderId="1" xfId="0" applyNumberFormat="1" applyFont="1" applyFill="1" applyBorder="1" applyAlignment="1">
      <alignment horizontal="center" vertical="center"/>
    </xf>
    <xf numFmtId="169" fontId="19" fillId="0" borderId="1" xfId="26" applyNumberFormat="1" applyFont="1" applyFill="1" applyBorder="1" applyAlignment="1">
      <alignment horizontal="left" vertical="center" wrapText="1"/>
    </xf>
    <xf numFmtId="166" fontId="18" fillId="18" borderId="1" xfId="29" applyFont="1" applyFill="1" applyBorder="1" applyAlignment="1">
      <alignment horizontal="center" vertical="center" wrapText="1"/>
    </xf>
    <xf numFmtId="49" fontId="28" fillId="18" borderId="1" xfId="26" applyNumberFormat="1" applyFont="1" applyFill="1" applyBorder="1" applyAlignment="1">
      <alignment horizontal="center" vertical="center"/>
    </xf>
    <xf numFmtId="166" fontId="18" fillId="18" borderId="1" xfId="25" applyFont="1" applyFill="1" applyBorder="1" applyAlignment="1">
      <alignment horizontal="center" vertical="center"/>
    </xf>
    <xf numFmtId="171" fontId="18" fillId="18" borderId="1" xfId="25" applyNumberFormat="1" applyFont="1" applyFill="1" applyBorder="1" applyAlignment="1" applyProtection="1">
      <alignment horizontal="center" vertical="center"/>
    </xf>
    <xf numFmtId="0" fontId="27" fillId="7" borderId="11" xfId="22" applyFont="1" applyFill="1" applyBorder="1" applyAlignment="1">
      <alignment vertical="center"/>
    </xf>
    <xf numFmtId="0" fontId="27" fillId="7" borderId="5" xfId="22" applyFont="1" applyFill="1" applyBorder="1" applyAlignment="1">
      <alignment vertical="center"/>
    </xf>
    <xf numFmtId="0" fontId="27" fillId="7" borderId="1" xfId="22" applyFont="1" applyFill="1" applyBorder="1" applyAlignment="1">
      <alignment horizontal="center" vertical="center"/>
    </xf>
    <xf numFmtId="0" fontId="27" fillId="6" borderId="11" xfId="22" applyFont="1" applyFill="1" applyBorder="1" applyAlignment="1">
      <alignment vertical="center"/>
    </xf>
    <xf numFmtId="0" fontId="27" fillId="6" borderId="5" xfId="22" applyFont="1" applyFill="1" applyBorder="1" applyAlignment="1">
      <alignment vertical="center"/>
    </xf>
    <xf numFmtId="0" fontId="27" fillId="6" borderId="1" xfId="22" applyFont="1" applyFill="1" applyBorder="1" applyAlignment="1">
      <alignment horizontal="center" vertical="center"/>
    </xf>
    <xf numFmtId="49" fontId="0" fillId="0" borderId="1" xfId="20" applyNumberFormat="1" applyFont="1" applyFill="1" applyBorder="1" applyAlignment="1">
      <alignment horizontal="center" vertical="center"/>
    </xf>
    <xf numFmtId="2" fontId="0" fillId="0" borderId="1" xfId="20" applyNumberFormat="1" applyFont="1" applyFill="1" applyBorder="1" applyAlignment="1">
      <alignment horizontal="left" vertical="center" wrapText="1"/>
    </xf>
    <xf numFmtId="2" fontId="12" fillId="0" borderId="1" xfId="1" applyNumberFormat="1" applyFont="1" applyFill="1" applyBorder="1" applyAlignment="1">
      <alignment vertical="center"/>
    </xf>
    <xf numFmtId="166" fontId="0" fillId="0" borderId="1" xfId="25" applyFont="1" applyFill="1" applyBorder="1" applyAlignment="1">
      <alignment horizontal="center" vertical="center"/>
    </xf>
    <xf numFmtId="166" fontId="12" fillId="0" borderId="1" xfId="25" applyFont="1" applyFill="1" applyBorder="1" applyAlignment="1">
      <alignment horizontal="left" vertical="justify" wrapText="1"/>
    </xf>
    <xf numFmtId="166" fontId="0" fillId="0" borderId="1" xfId="25" applyFont="1" applyFill="1" applyBorder="1" applyAlignment="1">
      <alignment horizontal="left" vertical="justify" wrapText="1"/>
    </xf>
    <xf numFmtId="0" fontId="15" fillId="0" borderId="1" xfId="0" applyFont="1" applyFill="1" applyBorder="1" applyAlignment="1">
      <alignment horizontal="center"/>
    </xf>
    <xf numFmtId="0" fontId="15" fillId="0" borderId="1" xfId="22" applyFont="1" applyFill="1" applyBorder="1" applyAlignment="1">
      <alignment horizontal="center" vertical="center" wrapText="1"/>
    </xf>
    <xf numFmtId="49" fontId="0" fillId="0" borderId="1" xfId="22" applyNumberFormat="1" applyFont="1" applyFill="1" applyBorder="1" applyAlignment="1">
      <alignment horizontal="center" vertical="center" wrapText="1"/>
    </xf>
    <xf numFmtId="44" fontId="15" fillId="0" borderId="1" xfId="1" applyNumberFormat="1" applyFont="1" applyFill="1" applyBorder="1" applyAlignment="1">
      <alignment horizontal="right" vertical="center"/>
    </xf>
    <xf numFmtId="0" fontId="15" fillId="0" borderId="1" xfId="22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4" fontId="15" fillId="0" borderId="1" xfId="1" applyNumberFormat="1" applyFont="1" applyFill="1" applyBorder="1" applyAlignment="1">
      <alignment vertical="center"/>
    </xf>
    <xf numFmtId="2" fontId="15" fillId="0" borderId="1" xfId="22" applyNumberFormat="1" applyFont="1" applyFill="1" applyBorder="1" applyAlignment="1">
      <alignment horizontal="right" vertical="center"/>
    </xf>
    <xf numFmtId="166" fontId="15" fillId="0" borderId="1" xfId="26" applyFont="1" applyFill="1" applyBorder="1" applyAlignment="1">
      <alignment horizontal="center" vertical="center"/>
    </xf>
    <xf numFmtId="166" fontId="0" fillId="0" borderId="1" xfId="25" applyFont="1" applyFill="1" applyBorder="1" applyAlignment="1">
      <alignment vertical="center" wrapText="1"/>
    </xf>
    <xf numFmtId="166" fontId="12" fillId="0" borderId="1" xfId="25" applyFont="1" applyFill="1" applyBorder="1" applyAlignment="1">
      <alignment horizontal="center" vertical="center" wrapText="1"/>
    </xf>
    <xf numFmtId="166" fontId="12" fillId="0" borderId="1" xfId="25" applyFont="1" applyFill="1" applyBorder="1" applyAlignment="1">
      <alignment vertical="top" wrapText="1"/>
    </xf>
    <xf numFmtId="2" fontId="12" fillId="0" borderId="1" xfId="1" applyNumberFormat="1" applyFont="1" applyFill="1" applyBorder="1" applyAlignment="1">
      <alignment horizontal="right"/>
    </xf>
    <xf numFmtId="44" fontId="15" fillId="0" borderId="1" xfId="1" applyNumberFormat="1" applyFont="1" applyFill="1" applyBorder="1" applyAlignment="1"/>
    <xf numFmtId="166" fontId="15" fillId="0" borderId="1" xfId="25" applyFont="1" applyFill="1" applyBorder="1" applyAlignment="1">
      <alignment vertical="center" wrapText="1"/>
    </xf>
    <xf numFmtId="166" fontId="15" fillId="0" borderId="1" xfId="25" applyFont="1" applyFill="1" applyBorder="1" applyAlignment="1">
      <alignment horizontal="center" vertical="center" wrapText="1"/>
    </xf>
    <xf numFmtId="166" fontId="15" fillId="0" borderId="1" xfId="25" applyFont="1" applyFill="1" applyBorder="1" applyAlignment="1">
      <alignment vertical="top" wrapText="1"/>
    </xf>
    <xf numFmtId="4" fontId="15" fillId="0" borderId="1" xfId="25" applyNumberFormat="1" applyFont="1" applyFill="1" applyBorder="1" applyAlignment="1">
      <alignment horizontal="right"/>
    </xf>
    <xf numFmtId="44" fontId="15" fillId="0" borderId="1" xfId="25" applyNumberFormat="1" applyFont="1" applyFill="1" applyBorder="1" applyAlignment="1">
      <alignment horizontal="right"/>
    </xf>
    <xf numFmtId="166" fontId="0" fillId="0" borderId="1" xfId="25" applyFont="1" applyFill="1" applyBorder="1" applyAlignment="1">
      <alignment vertical="top" wrapText="1"/>
    </xf>
    <xf numFmtId="0" fontId="12" fillId="0" borderId="1" xfId="22" applyFont="1" applyFill="1" applyBorder="1" applyAlignment="1">
      <alignment horizontal="left" vertical="center" wrapText="1"/>
    </xf>
    <xf numFmtId="166" fontId="12" fillId="0" borderId="1" xfId="26" applyFont="1" applyFill="1" applyBorder="1" applyAlignment="1">
      <alignment horizontal="center" vertical="center" wrapText="1"/>
    </xf>
    <xf numFmtId="166" fontId="0" fillId="0" borderId="1" xfId="26" applyFont="1" applyFill="1" applyBorder="1" applyAlignment="1">
      <alignment vertical="center" wrapText="1"/>
    </xf>
    <xf numFmtId="2" fontId="12" fillId="0" borderId="1" xfId="0" applyNumberFormat="1" applyFont="1" applyFill="1" applyBorder="1" applyAlignment="1">
      <alignment vertical="center"/>
    </xf>
    <xf numFmtId="0" fontId="12" fillId="0" borderId="1" xfId="22" applyFont="1" applyFill="1" applyBorder="1" applyAlignment="1">
      <alignment horizontal="left" vertical="center"/>
    </xf>
    <xf numFmtId="0" fontId="0" fillId="0" borderId="1" xfId="22" applyNumberFormat="1" applyFont="1" applyFill="1" applyBorder="1" applyAlignment="1">
      <alignment horizontal="center" vertical="center"/>
    </xf>
    <xf numFmtId="166" fontId="15" fillId="0" borderId="1" xfId="26" applyFont="1" applyFill="1" applyBorder="1" applyAlignment="1">
      <alignment horizontal="left" vertical="top" wrapText="1"/>
    </xf>
    <xf numFmtId="4" fontId="15" fillId="0" borderId="1" xfId="1" applyNumberFormat="1" applyFont="1" applyFill="1" applyBorder="1" applyAlignment="1">
      <alignment horizontal="right" vertical="center"/>
    </xf>
    <xf numFmtId="44" fontId="15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5" fillId="0" borderId="1" xfId="20" applyNumberFormat="1" applyFont="1" applyFill="1" applyBorder="1" applyAlignment="1">
      <alignment horizontal="center" vertical="center"/>
    </xf>
    <xf numFmtId="49" fontId="12" fillId="0" borderId="1" xfId="22" applyNumberFormat="1" applyFont="1" applyFill="1" applyBorder="1" applyAlignment="1">
      <alignment horizontal="center" vertical="center"/>
    </xf>
    <xf numFmtId="166" fontId="12" fillId="0" borderId="1" xfId="25" applyFont="1" applyFill="1" applyBorder="1" applyAlignment="1">
      <alignment horizontal="left" wrapText="1"/>
    </xf>
    <xf numFmtId="166" fontId="15" fillId="0" borderId="1" xfId="29" applyFont="1" applyFill="1" applyBorder="1" applyAlignment="1">
      <alignment horizontal="center" vertical="center"/>
    </xf>
    <xf numFmtId="0" fontId="15" fillId="0" borderId="1" xfId="22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22" applyFont="1" applyFill="1" applyBorder="1" applyAlignment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6" fillId="0" borderId="0" xfId="0" applyFont="1" applyFill="1" applyAlignment="1">
      <alignment horizontal="left" vertical="center" wrapText="1"/>
    </xf>
    <xf numFmtId="0" fontId="27" fillId="12" borderId="1" xfId="22" applyFont="1" applyFill="1" applyBorder="1" applyAlignment="1">
      <alignment horizontal="center" vertical="center"/>
    </xf>
    <xf numFmtId="0" fontId="14" fillId="8" borderId="0" xfId="22" applyFont="1" applyFill="1" applyAlignment="1">
      <alignment horizontal="center"/>
    </xf>
    <xf numFmtId="166" fontId="41" fillId="8" borderId="0" xfId="25" applyFont="1" applyFill="1" applyAlignment="1">
      <alignment horizontal="center" vertical="center" wrapText="1"/>
    </xf>
    <xf numFmtId="166" fontId="14" fillId="8" borderId="0" xfId="25" applyFont="1" applyFill="1" applyAlignment="1">
      <alignment horizontal="center" vertical="center" wrapText="1"/>
    </xf>
    <xf numFmtId="0" fontId="14" fillId="0" borderId="0" xfId="25" applyNumberFormat="1" applyFont="1" applyFill="1" applyBorder="1" applyAlignment="1">
      <alignment horizontal="left" vertical="center"/>
    </xf>
    <xf numFmtId="166" fontId="29" fillId="8" borderId="0" xfId="25" applyFont="1" applyFill="1" applyAlignment="1">
      <alignment horizontal="center" vertical="center" wrapText="1"/>
    </xf>
    <xf numFmtId="167" fontId="18" fillId="0" borderId="1" xfId="26" applyNumberFormat="1" applyFont="1" applyFill="1" applyBorder="1" applyAlignment="1">
      <alignment horizontal="center" vertical="center"/>
    </xf>
    <xf numFmtId="166" fontId="18" fillId="0" borderId="1" xfId="26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166" fontId="18" fillId="14" borderId="12" xfId="29" applyFont="1" applyFill="1" applyBorder="1" applyAlignment="1">
      <alignment horizontal="left" vertical="justify"/>
    </xf>
    <xf numFmtId="166" fontId="18" fillId="0" borderId="1" xfId="29" applyFont="1" applyBorder="1" applyAlignment="1">
      <alignment horizontal="left" vertical="center" wrapText="1"/>
    </xf>
    <xf numFmtId="167" fontId="18" fillId="0" borderId="6" xfId="25" applyNumberFormat="1" applyFont="1" applyFill="1" applyBorder="1" applyAlignment="1">
      <alignment horizontal="center" vertical="center"/>
    </xf>
    <xf numFmtId="167" fontId="18" fillId="0" borderId="11" xfId="25" applyNumberFormat="1" applyFont="1" applyFill="1" applyBorder="1" applyAlignment="1">
      <alignment horizontal="center" vertical="center"/>
    </xf>
    <xf numFmtId="167" fontId="18" fillId="0" borderId="5" xfId="25" applyNumberFormat="1" applyFont="1" applyFill="1" applyBorder="1" applyAlignment="1">
      <alignment horizontal="center" vertical="center"/>
    </xf>
    <xf numFmtId="167" fontId="28" fillId="0" borderId="1" xfId="0" applyNumberFormat="1" applyFont="1" applyFill="1" applyBorder="1" applyAlignment="1">
      <alignment horizontal="left" vertical="center"/>
    </xf>
    <xf numFmtId="167" fontId="18" fillId="0" borderId="6" xfId="29" applyNumberFormat="1" applyFont="1" applyBorder="1" applyAlignment="1">
      <alignment horizontal="center" vertical="center" wrapText="1"/>
    </xf>
    <xf numFmtId="167" fontId="18" fillId="0" borderId="11" xfId="29" applyNumberFormat="1" applyFont="1" applyBorder="1" applyAlignment="1">
      <alignment horizontal="center" vertical="center" wrapText="1"/>
    </xf>
    <xf numFmtId="167" fontId="18" fillId="0" borderId="5" xfId="29" applyNumberFormat="1" applyFont="1" applyBorder="1" applyAlignment="1">
      <alignment horizontal="center" vertical="center" wrapText="1"/>
    </xf>
    <xf numFmtId="167" fontId="18" fillId="0" borderId="1" xfId="29" applyNumberFormat="1" applyFont="1" applyBorder="1" applyAlignment="1">
      <alignment horizontal="center" vertical="center"/>
    </xf>
    <xf numFmtId="167" fontId="18" fillId="0" borderId="6" xfId="25" applyNumberFormat="1" applyFont="1" applyFill="1" applyBorder="1" applyAlignment="1">
      <alignment horizontal="left" vertical="center" wrapText="1"/>
    </xf>
    <xf numFmtId="167" fontId="18" fillId="0" borderId="11" xfId="25" applyNumberFormat="1" applyFont="1" applyFill="1" applyBorder="1" applyAlignment="1">
      <alignment horizontal="left" vertical="center" wrapText="1"/>
    </xf>
    <xf numFmtId="167" fontId="18" fillId="0" borderId="5" xfId="25" applyNumberFormat="1" applyFont="1" applyFill="1" applyBorder="1" applyAlignment="1">
      <alignment horizontal="left" vertical="center" wrapText="1"/>
    </xf>
    <xf numFmtId="167" fontId="18" fillId="0" borderId="6" xfId="0" applyNumberFormat="1" applyFont="1" applyFill="1" applyBorder="1" applyAlignment="1">
      <alignment horizontal="left" vertical="center"/>
    </xf>
    <xf numFmtId="167" fontId="18" fillId="0" borderId="11" xfId="0" applyNumberFormat="1" applyFont="1" applyFill="1" applyBorder="1" applyAlignment="1">
      <alignment horizontal="left" vertical="center"/>
    </xf>
    <xf numFmtId="167" fontId="18" fillId="0" borderId="5" xfId="0" applyNumberFormat="1" applyFont="1" applyFill="1" applyBorder="1" applyAlignment="1">
      <alignment horizontal="left" vertical="center"/>
    </xf>
    <xf numFmtId="170" fontId="28" fillId="8" borderId="1" xfId="27" applyNumberFormat="1" applyFont="1" applyFill="1" applyBorder="1" applyAlignment="1">
      <alignment horizontal="left" vertical="center" wrapText="1"/>
    </xf>
    <xf numFmtId="167" fontId="28" fillId="8" borderId="1" xfId="0" applyNumberFormat="1" applyFont="1" applyFill="1" applyBorder="1" applyAlignment="1">
      <alignment horizontal="left" vertical="center"/>
    </xf>
    <xf numFmtId="0" fontId="28" fillId="8" borderId="1" xfId="0" applyFont="1" applyFill="1" applyBorder="1" applyAlignment="1">
      <alignment horizontal="center" vertical="center"/>
    </xf>
    <xf numFmtId="0" fontId="28" fillId="0" borderId="0" xfId="22" applyFont="1" applyFill="1" applyBorder="1" applyAlignment="1">
      <alignment horizontal="center"/>
    </xf>
    <xf numFmtId="0" fontId="28" fillId="0" borderId="0" xfId="22" applyFont="1" applyFill="1" applyAlignment="1">
      <alignment horizontal="center"/>
    </xf>
    <xf numFmtId="166" fontId="38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28" fillId="0" borderId="0" xfId="9" applyFont="1" applyAlignment="1">
      <alignment horizontal="center"/>
    </xf>
    <xf numFmtId="167" fontId="18" fillId="0" borderId="1" xfId="27" applyNumberFormat="1" applyFont="1" applyFill="1" applyBorder="1" applyAlignment="1">
      <alignment horizontal="center" vertical="center"/>
    </xf>
    <xf numFmtId="167" fontId="18" fillId="0" borderId="1" xfId="0" applyNumberFormat="1" applyFont="1" applyFill="1" applyBorder="1" applyAlignment="1">
      <alignment horizontal="left" vertical="center"/>
    </xf>
    <xf numFmtId="166" fontId="18" fillId="0" borderId="1" xfId="27" applyFont="1" applyFill="1" applyBorder="1" applyAlignment="1">
      <alignment horizontal="left" vertical="center" wrapText="1"/>
    </xf>
    <xf numFmtId="167" fontId="28" fillId="8" borderId="1" xfId="27" applyNumberFormat="1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8" fillId="0" borderId="5" xfId="0" applyFont="1" applyFill="1" applyBorder="1" applyAlignment="1">
      <alignment horizontal="center" vertical="center"/>
    </xf>
    <xf numFmtId="167" fontId="28" fillId="0" borderId="6" xfId="25" applyNumberFormat="1" applyFont="1" applyFill="1" applyBorder="1" applyAlignment="1">
      <alignment horizontal="center" vertical="center"/>
    </xf>
    <xf numFmtId="167" fontId="28" fillId="0" borderId="11" xfId="25" applyNumberFormat="1" applyFont="1" applyFill="1" applyBorder="1" applyAlignment="1">
      <alignment horizontal="center" vertical="center"/>
    </xf>
    <xf numFmtId="167" fontId="28" fillId="0" borderId="5" xfId="25" applyNumberFormat="1" applyFont="1" applyFill="1" applyBorder="1" applyAlignment="1">
      <alignment horizontal="center" vertical="center"/>
    </xf>
    <xf numFmtId="167" fontId="28" fillId="0" borderId="6" xfId="0" applyNumberFormat="1" applyFont="1" applyFill="1" applyBorder="1" applyAlignment="1">
      <alignment horizontal="left" vertical="center"/>
    </xf>
    <xf numFmtId="167" fontId="28" fillId="0" borderId="11" xfId="0" applyNumberFormat="1" applyFont="1" applyFill="1" applyBorder="1" applyAlignment="1">
      <alignment horizontal="left" vertical="center"/>
    </xf>
    <xf numFmtId="167" fontId="28" fillId="0" borderId="5" xfId="0" applyNumberFormat="1" applyFont="1" applyFill="1" applyBorder="1" applyAlignment="1">
      <alignment horizontal="left" vertical="center"/>
    </xf>
    <xf numFmtId="167" fontId="18" fillId="0" borderId="1" xfId="25" applyNumberFormat="1" applyFont="1" applyFill="1" applyBorder="1" applyAlignment="1">
      <alignment horizontal="left" vertical="center" wrapText="1"/>
    </xf>
    <xf numFmtId="167" fontId="28" fillId="0" borderId="1" xfId="25" applyNumberFormat="1" applyFont="1" applyFill="1" applyBorder="1" applyAlignment="1">
      <alignment horizontal="left" vertical="center" wrapText="1"/>
    </xf>
    <xf numFmtId="167" fontId="28" fillId="0" borderId="1" xfId="0" applyNumberFormat="1" applyFont="1" applyFill="1" applyBorder="1" applyAlignment="1">
      <alignment horizontal="left" vertical="center" wrapText="1"/>
    </xf>
    <xf numFmtId="167" fontId="18" fillId="0" borderId="1" xfId="25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67" fontId="18" fillId="0" borderId="1" xfId="29" applyNumberFormat="1" applyFont="1" applyFill="1" applyBorder="1" applyAlignment="1">
      <alignment horizontal="center" vertical="center"/>
    </xf>
    <xf numFmtId="166" fontId="18" fillId="0" borderId="1" xfId="29" applyFont="1" applyFill="1" applyBorder="1" applyAlignment="1">
      <alignment horizontal="left" vertical="center" wrapText="1"/>
    </xf>
    <xf numFmtId="167" fontId="18" fillId="0" borderId="6" xfId="26" applyNumberFormat="1" applyFont="1" applyFill="1" applyBorder="1" applyAlignment="1">
      <alignment horizontal="left" vertical="center" wrapText="1"/>
    </xf>
    <xf numFmtId="167" fontId="18" fillId="0" borderId="11" xfId="26" applyNumberFormat="1" applyFont="1" applyFill="1" applyBorder="1" applyAlignment="1">
      <alignment horizontal="left" vertical="center" wrapText="1"/>
    </xf>
    <xf numFmtId="167" fontId="18" fillId="0" borderId="5" xfId="26" applyNumberFormat="1" applyFont="1" applyFill="1" applyBorder="1" applyAlignment="1">
      <alignment horizontal="left" vertical="center" wrapText="1"/>
    </xf>
    <xf numFmtId="167" fontId="28" fillId="0" borderId="6" xfId="25" applyNumberFormat="1" applyFont="1" applyFill="1" applyBorder="1" applyAlignment="1">
      <alignment horizontal="left" vertical="center" wrapText="1"/>
    </xf>
    <xf numFmtId="167" fontId="28" fillId="0" borderId="11" xfId="25" applyNumberFormat="1" applyFont="1" applyFill="1" applyBorder="1" applyAlignment="1">
      <alignment horizontal="left" vertical="center" wrapText="1"/>
    </xf>
    <xf numFmtId="167" fontId="28" fillId="0" borderId="5" xfId="25" applyNumberFormat="1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/>
    </xf>
    <xf numFmtId="167" fontId="18" fillId="4" borderId="22" xfId="29" applyNumberFormat="1" applyFont="1" applyFill="1" applyBorder="1" applyAlignment="1">
      <alignment horizontal="center" vertical="center"/>
    </xf>
    <xf numFmtId="167" fontId="18" fillId="4" borderId="23" xfId="29" applyNumberFormat="1" applyFont="1" applyFill="1" applyBorder="1" applyAlignment="1">
      <alignment horizontal="center" vertical="center"/>
    </xf>
    <xf numFmtId="167" fontId="18" fillId="4" borderId="23" xfId="0" applyNumberFormat="1" applyFont="1" applyFill="1" applyBorder="1" applyAlignment="1">
      <alignment horizontal="left" vertical="center"/>
    </xf>
    <xf numFmtId="167" fontId="18" fillId="4" borderId="24" xfId="0" applyNumberFormat="1" applyFont="1" applyFill="1" applyBorder="1" applyAlignment="1">
      <alignment horizontal="left" vertical="center"/>
    </xf>
    <xf numFmtId="0" fontId="18" fillId="4" borderId="25" xfId="0" applyFont="1" applyFill="1" applyBorder="1" applyAlignment="1">
      <alignment horizontal="center" vertical="center"/>
    </xf>
    <xf numFmtId="0" fontId="18" fillId="4" borderId="23" xfId="0" applyFont="1" applyFill="1" applyBorder="1" applyAlignment="1">
      <alignment horizontal="center" vertical="center"/>
    </xf>
    <xf numFmtId="167" fontId="18" fillId="4" borderId="25" xfId="31" applyNumberFormat="1" applyFont="1" applyFill="1" applyBorder="1" applyAlignment="1">
      <alignment horizontal="center" vertical="center"/>
    </xf>
    <xf numFmtId="167" fontId="18" fillId="4" borderId="23" xfId="31" applyNumberFormat="1" applyFont="1" applyFill="1" applyBorder="1" applyAlignment="1">
      <alignment horizontal="center" vertical="center"/>
    </xf>
    <xf numFmtId="167" fontId="18" fillId="4" borderId="1" xfId="29" applyNumberFormat="1" applyFont="1" applyFill="1" applyBorder="1" applyAlignment="1">
      <alignment horizontal="left" vertical="center" wrapText="1"/>
    </xf>
    <xf numFmtId="166" fontId="18" fillId="4" borderId="23" xfId="29" applyFont="1" applyFill="1" applyBorder="1" applyAlignment="1">
      <alignment horizontal="left" vertical="center" wrapText="1"/>
    </xf>
    <xf numFmtId="166" fontId="18" fillId="4" borderId="24" xfId="29" applyFont="1" applyFill="1" applyBorder="1" applyAlignment="1">
      <alignment horizontal="left" vertical="center" wrapText="1"/>
    </xf>
    <xf numFmtId="0" fontId="18" fillId="4" borderId="22" xfId="0" applyFont="1" applyFill="1" applyBorder="1" applyAlignment="1">
      <alignment horizontal="center" vertical="center"/>
    </xf>
    <xf numFmtId="167" fontId="18" fillId="4" borderId="5" xfId="29" applyNumberFormat="1" applyFont="1" applyFill="1" applyBorder="1" applyAlignment="1">
      <alignment horizontal="center" vertical="center"/>
    </xf>
    <xf numFmtId="167" fontId="18" fillId="4" borderId="1" xfId="29" applyNumberFormat="1" applyFont="1" applyFill="1" applyBorder="1" applyAlignment="1">
      <alignment horizontal="center" vertical="center"/>
    </xf>
    <xf numFmtId="167" fontId="18" fillId="4" borderId="22" xfId="25" applyNumberFormat="1" applyFont="1" applyFill="1" applyBorder="1" applyAlignment="1">
      <alignment horizontal="center" vertical="center"/>
    </xf>
    <xf numFmtId="167" fontId="18" fillId="4" borderId="23" xfId="25" applyNumberFormat="1" applyFont="1" applyFill="1" applyBorder="1" applyAlignment="1">
      <alignment horizontal="center" vertical="center"/>
    </xf>
    <xf numFmtId="167" fontId="18" fillId="0" borderId="23" xfId="0" applyNumberFormat="1" applyFont="1" applyBorder="1" applyAlignment="1">
      <alignment horizontal="left" vertical="center"/>
    </xf>
    <xf numFmtId="167" fontId="18" fillId="0" borderId="24" xfId="0" applyNumberFormat="1" applyFont="1" applyBorder="1" applyAlignment="1">
      <alignment horizontal="left" vertical="center"/>
    </xf>
    <xf numFmtId="167" fontId="18" fillId="0" borderId="22" xfId="25" applyNumberFormat="1" applyFont="1" applyBorder="1" applyAlignment="1">
      <alignment horizontal="center" vertical="center"/>
    </xf>
    <xf numFmtId="167" fontId="18" fillId="0" borderId="23" xfId="25" applyNumberFormat="1" applyFont="1" applyBorder="1" applyAlignment="1">
      <alignment horizontal="center" vertical="center"/>
    </xf>
    <xf numFmtId="166" fontId="18" fillId="4" borderId="1" xfId="29" applyFont="1" applyFill="1" applyBorder="1" applyAlignment="1">
      <alignment horizontal="left" vertical="center" wrapText="1"/>
    </xf>
    <xf numFmtId="167" fontId="18" fillId="4" borderId="1" xfId="0" applyNumberFormat="1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center" vertical="center"/>
    </xf>
    <xf numFmtId="166" fontId="18" fillId="4" borderId="1" xfId="25" applyFont="1" applyFill="1" applyBorder="1" applyAlignment="1">
      <alignment horizontal="left" vertical="center" wrapText="1"/>
    </xf>
    <xf numFmtId="167" fontId="18" fillId="4" borderId="1" xfId="25" applyNumberFormat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67" fontId="18" fillId="4" borderId="1" xfId="26" applyNumberFormat="1" applyFont="1" applyFill="1" applyBorder="1" applyAlignment="1">
      <alignment horizontal="center" vertical="center"/>
    </xf>
    <xf numFmtId="166" fontId="18" fillId="4" borderId="23" xfId="26" applyFont="1" applyFill="1" applyBorder="1" applyAlignment="1">
      <alignment horizontal="left" vertical="center" wrapText="1"/>
    </xf>
    <xf numFmtId="166" fontId="18" fillId="4" borderId="24" xfId="26" applyFont="1" applyFill="1" applyBorder="1" applyAlignment="1">
      <alignment horizontal="left" vertical="center" wrapText="1"/>
    </xf>
    <xf numFmtId="0" fontId="19" fillId="4" borderId="23" xfId="0" applyFont="1" applyFill="1" applyBorder="1" applyAlignment="1">
      <alignment horizontal="left" vertical="center" wrapText="1"/>
    </xf>
    <xf numFmtId="0" fontId="19" fillId="4" borderId="24" xfId="0" applyFont="1" applyFill="1" applyBorder="1" applyAlignment="1">
      <alignment horizontal="left" vertical="center" wrapText="1"/>
    </xf>
    <xf numFmtId="166" fontId="18" fillId="4" borderId="1" xfId="26" applyFont="1" applyFill="1" applyBorder="1" applyAlignment="1">
      <alignment horizontal="left"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167" fontId="18" fillId="0" borderId="6" xfId="0" applyNumberFormat="1" applyFont="1" applyBorder="1" applyAlignment="1">
      <alignment horizontal="left" vertical="center"/>
    </xf>
    <xf numFmtId="167" fontId="18" fillId="0" borderId="11" xfId="0" applyNumberFormat="1" applyFont="1" applyBorder="1" applyAlignment="1">
      <alignment horizontal="left" vertical="center"/>
    </xf>
    <xf numFmtId="167" fontId="18" fillId="0" borderId="5" xfId="0" applyNumberFormat="1" applyFont="1" applyBorder="1" applyAlignment="1">
      <alignment horizontal="left" vertical="center"/>
    </xf>
    <xf numFmtId="167" fontId="18" fillId="0" borderId="6" xfId="26" applyNumberFormat="1" applyFont="1" applyBorder="1" applyAlignment="1">
      <alignment horizontal="left" vertical="center" wrapText="1"/>
    </xf>
    <xf numFmtId="167" fontId="18" fillId="0" borderId="11" xfId="26" applyNumberFormat="1" applyFont="1" applyBorder="1" applyAlignment="1">
      <alignment horizontal="left" vertical="center" wrapText="1"/>
    </xf>
    <xf numFmtId="167" fontId="18" fillId="0" borderId="5" xfId="26" applyNumberFormat="1" applyFont="1" applyBorder="1" applyAlignment="1">
      <alignment horizontal="left" vertical="center" wrapText="1"/>
    </xf>
    <xf numFmtId="167" fontId="18" fillId="0" borderId="1" xfId="0" applyNumberFormat="1" applyFont="1" applyBorder="1" applyAlignment="1">
      <alignment horizontal="left" vertical="center"/>
    </xf>
    <xf numFmtId="167" fontId="18" fillId="4" borderId="24" xfId="31" applyNumberFormat="1" applyFont="1" applyFill="1" applyBorder="1" applyAlignment="1">
      <alignment horizontal="left" vertical="center" wrapText="1"/>
    </xf>
    <xf numFmtId="167" fontId="18" fillId="4" borderId="33" xfId="31" applyNumberFormat="1" applyFont="1" applyFill="1" applyBorder="1" applyAlignment="1">
      <alignment horizontal="left" vertical="center" wrapText="1"/>
    </xf>
    <xf numFmtId="167" fontId="18" fillId="4" borderId="22" xfId="26" applyNumberFormat="1" applyFont="1" applyFill="1" applyBorder="1" applyAlignment="1">
      <alignment horizontal="center" vertical="center"/>
    </xf>
    <xf numFmtId="167" fontId="18" fillId="4" borderId="23" xfId="26" applyNumberFormat="1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left" vertical="center" wrapText="1"/>
    </xf>
    <xf numFmtId="166" fontId="17" fillId="15" borderId="1" xfId="29" applyFont="1" applyFill="1" applyBorder="1" applyAlignment="1">
      <alignment horizontal="left" vertical="justify"/>
    </xf>
    <xf numFmtId="166" fontId="19" fillId="4" borderId="23" xfId="29" applyFont="1" applyFill="1" applyBorder="1" applyAlignment="1">
      <alignment horizontal="left" vertical="center" wrapText="1"/>
    </xf>
    <xf numFmtId="166" fontId="19" fillId="4" borderId="24" xfId="29" applyFont="1" applyFill="1" applyBorder="1" applyAlignment="1">
      <alignment horizontal="left" vertical="center" wrapText="1"/>
    </xf>
    <xf numFmtId="0" fontId="18" fillId="4" borderId="33" xfId="0" applyFont="1" applyFill="1" applyBorder="1" applyAlignment="1">
      <alignment horizontal="center" vertical="center"/>
    </xf>
    <xf numFmtId="167" fontId="18" fillId="4" borderId="33" xfId="29" applyNumberFormat="1" applyFont="1" applyFill="1" applyBorder="1" applyAlignment="1">
      <alignment horizontal="center" vertical="center"/>
    </xf>
    <xf numFmtId="167" fontId="18" fillId="4" borderId="34" xfId="29" applyNumberFormat="1" applyFont="1" applyFill="1" applyBorder="1" applyAlignment="1">
      <alignment horizontal="center" vertical="center"/>
    </xf>
    <xf numFmtId="167" fontId="18" fillId="4" borderId="35" xfId="29" applyNumberFormat="1" applyFont="1" applyFill="1" applyBorder="1" applyAlignment="1">
      <alignment horizontal="center" vertical="center"/>
    </xf>
    <xf numFmtId="167" fontId="18" fillId="4" borderId="1" xfId="27" applyNumberFormat="1" applyFont="1" applyFill="1" applyBorder="1" applyAlignment="1">
      <alignment horizontal="left" vertical="center" wrapText="1"/>
    </xf>
    <xf numFmtId="167" fontId="18" fillId="4" borderId="1" xfId="27" applyNumberFormat="1" applyFont="1" applyFill="1" applyBorder="1" applyAlignment="1">
      <alignment horizontal="center" vertical="center"/>
    </xf>
    <xf numFmtId="167" fontId="18" fillId="4" borderId="1" xfId="26" applyNumberFormat="1" applyFont="1" applyFill="1" applyBorder="1" applyAlignment="1">
      <alignment horizontal="left" vertical="center" wrapText="1"/>
    </xf>
    <xf numFmtId="167" fontId="18" fillId="4" borderId="1" xfId="25" applyNumberFormat="1" applyFont="1" applyFill="1" applyBorder="1" applyAlignment="1">
      <alignment horizontal="left" vertical="center" wrapText="1"/>
    </xf>
    <xf numFmtId="167" fontId="18" fillId="4" borderId="23" xfId="29" applyNumberFormat="1" applyFont="1" applyFill="1" applyBorder="1" applyAlignment="1">
      <alignment horizontal="left" vertical="center" wrapText="1"/>
    </xf>
    <xf numFmtId="167" fontId="18" fillId="4" borderId="24" xfId="29" applyNumberFormat="1" applyFont="1" applyFill="1" applyBorder="1" applyAlignment="1">
      <alignment horizontal="left" vertical="center" wrapText="1"/>
    </xf>
    <xf numFmtId="166" fontId="18" fillId="4" borderId="23" xfId="25" applyFont="1" applyFill="1" applyBorder="1" applyAlignment="1">
      <alignment horizontal="left" vertical="center" wrapText="1"/>
    </xf>
    <xf numFmtId="166" fontId="18" fillId="4" borderId="24" xfId="25" applyFont="1" applyFill="1" applyBorder="1" applyAlignment="1">
      <alignment horizontal="left" vertical="center" wrapText="1"/>
    </xf>
    <xf numFmtId="166" fontId="34" fillId="15" borderId="26" xfId="26" applyFont="1" applyFill="1" applyBorder="1" applyAlignment="1">
      <alignment horizontal="left" vertical="justify"/>
    </xf>
    <xf numFmtId="166" fontId="9" fillId="15" borderId="27" xfId="26" applyFont="1" applyFill="1" applyBorder="1" applyAlignment="1">
      <alignment horizontal="left" vertical="justify"/>
    </xf>
    <xf numFmtId="166" fontId="9" fillId="15" borderId="28" xfId="26" applyFont="1" applyFill="1" applyBorder="1" applyAlignment="1">
      <alignment horizontal="left" vertical="justify"/>
    </xf>
    <xf numFmtId="166" fontId="18" fillId="4" borderId="8" xfId="26" applyFont="1" applyFill="1" applyBorder="1" applyAlignment="1">
      <alignment horizontal="left" vertical="center" wrapText="1"/>
    </xf>
    <xf numFmtId="0" fontId="18" fillId="4" borderId="7" xfId="0" applyFont="1" applyFill="1" applyBorder="1" applyAlignment="1">
      <alignment horizontal="center" vertical="center"/>
    </xf>
    <xf numFmtId="167" fontId="18" fillId="0" borderId="1" xfId="26" applyNumberFormat="1" applyFont="1" applyBorder="1" applyAlignment="1">
      <alignment horizontal="center" vertical="center"/>
    </xf>
    <xf numFmtId="167" fontId="18" fillId="0" borderId="1" xfId="26" applyNumberFormat="1" applyFont="1" applyBorder="1" applyAlignment="1">
      <alignment horizontal="left" vertical="center" wrapText="1"/>
    </xf>
    <xf numFmtId="166" fontId="34" fillId="15" borderId="26" xfId="27" applyFont="1" applyFill="1" applyBorder="1" applyAlignment="1">
      <alignment horizontal="left" vertical="justify"/>
    </xf>
    <xf numFmtId="166" fontId="9" fillId="15" borderId="27" xfId="27" applyFont="1" applyFill="1" applyBorder="1" applyAlignment="1">
      <alignment horizontal="left" vertical="justify"/>
    </xf>
    <xf numFmtId="166" fontId="9" fillId="15" borderId="28" xfId="27" applyFont="1" applyFill="1" applyBorder="1" applyAlignment="1">
      <alignment horizontal="left" vertical="justify"/>
    </xf>
    <xf numFmtId="167" fontId="8" fillId="0" borderId="3" xfId="26" applyNumberFormat="1" applyFont="1" applyBorder="1" applyAlignment="1">
      <alignment horizontal="left" vertical="center" wrapText="1"/>
    </xf>
    <xf numFmtId="167" fontId="3" fillId="0" borderId="3" xfId="26" applyNumberFormat="1" applyFont="1" applyBorder="1" applyAlignment="1">
      <alignment horizontal="left" vertical="center" wrapText="1"/>
    </xf>
    <xf numFmtId="167" fontId="3" fillId="0" borderId="4" xfId="26" applyNumberFormat="1" applyFont="1" applyBorder="1" applyAlignment="1">
      <alignment horizontal="left" vertical="center" wrapText="1"/>
    </xf>
    <xf numFmtId="167" fontId="8" fillId="0" borderId="3" xfId="0" applyNumberFormat="1" applyFont="1" applyBorder="1" applyAlignment="1">
      <alignment horizontal="left" vertical="center"/>
    </xf>
    <xf numFmtId="167" fontId="8" fillId="0" borderId="4" xfId="0" applyNumberFormat="1" applyFont="1" applyBorder="1" applyAlignment="1">
      <alignment horizontal="left" vertical="center"/>
    </xf>
    <xf numFmtId="166" fontId="18" fillId="4" borderId="23" xfId="27" applyFont="1" applyFill="1" applyBorder="1" applyAlignment="1">
      <alignment horizontal="left" vertical="center" wrapText="1"/>
    </xf>
    <xf numFmtId="166" fontId="18" fillId="4" borderId="24" xfId="27" applyFont="1" applyFill="1" applyBorder="1" applyAlignment="1">
      <alignment horizontal="left" vertical="center" wrapText="1"/>
    </xf>
    <xf numFmtId="167" fontId="18" fillId="4" borderId="22" xfId="27" applyNumberFormat="1" applyFont="1" applyFill="1" applyBorder="1" applyAlignment="1">
      <alignment horizontal="center" vertical="center"/>
    </xf>
    <xf numFmtId="167" fontId="18" fillId="4" borderId="23" xfId="27" applyNumberFormat="1" applyFont="1" applyFill="1" applyBorder="1" applyAlignment="1">
      <alignment horizontal="center" vertical="center"/>
    </xf>
    <xf numFmtId="167" fontId="19" fillId="4" borderId="1" xfId="26" applyNumberFormat="1" applyFont="1" applyFill="1" applyBorder="1" applyAlignment="1">
      <alignment horizontal="left" vertical="center" wrapText="1"/>
    </xf>
    <xf numFmtId="167" fontId="18" fillId="4" borderId="1" xfId="0" applyNumberFormat="1" applyFont="1" applyFill="1" applyBorder="1" applyAlignment="1">
      <alignment horizontal="center" vertical="center"/>
    </xf>
    <xf numFmtId="167" fontId="18" fillId="4" borderId="6" xfId="26" applyNumberFormat="1" applyFont="1" applyFill="1" applyBorder="1" applyAlignment="1">
      <alignment horizontal="center" vertical="center"/>
    </xf>
    <xf numFmtId="167" fontId="18" fillId="4" borderId="11" xfId="26" applyNumberFormat="1" applyFont="1" applyFill="1" applyBorder="1" applyAlignment="1">
      <alignment horizontal="center" vertical="center"/>
    </xf>
    <xf numFmtId="167" fontId="18" fillId="4" borderId="5" xfId="26" applyNumberFormat="1" applyFont="1" applyFill="1" applyBorder="1" applyAlignment="1">
      <alignment horizontal="center" vertical="center"/>
    </xf>
    <xf numFmtId="167" fontId="18" fillId="0" borderId="1" xfId="25" applyNumberFormat="1" applyFont="1" applyBorder="1" applyAlignment="1">
      <alignment horizontal="center" vertical="center"/>
    </xf>
    <xf numFmtId="166" fontId="18" fillId="0" borderId="1" xfId="25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67" fontId="8" fillId="0" borderId="2" xfId="26" applyNumberFormat="1" applyFont="1" applyBorder="1" applyAlignment="1">
      <alignment horizontal="center" vertical="center"/>
    </xf>
    <xf numFmtId="167" fontId="8" fillId="0" borderId="3" xfId="26" applyNumberFormat="1" applyFont="1" applyBorder="1" applyAlignment="1">
      <alignment horizontal="center" vertical="center"/>
    </xf>
    <xf numFmtId="0" fontId="18" fillId="4" borderId="23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167" fontId="18" fillId="4" borderId="8" xfId="26" applyNumberFormat="1" applyFont="1" applyFill="1" applyBorder="1" applyAlignment="1">
      <alignment horizontal="left" vertical="center" wrapText="1"/>
    </xf>
    <xf numFmtId="167" fontId="18" fillId="0" borderId="23" xfId="25" applyNumberFormat="1" applyFont="1" applyBorder="1" applyAlignment="1">
      <alignment horizontal="left" vertical="center" wrapText="1"/>
    </xf>
    <xf numFmtId="167" fontId="18" fillId="0" borderId="24" xfId="25" applyNumberFormat="1" applyFont="1" applyBorder="1" applyAlignment="1">
      <alignment horizontal="left" vertical="center" wrapText="1"/>
    </xf>
    <xf numFmtId="166" fontId="18" fillId="0" borderId="23" xfId="25" applyFont="1" applyBorder="1" applyAlignment="1">
      <alignment horizontal="left" vertical="center" wrapText="1"/>
    </xf>
    <xf numFmtId="166" fontId="18" fillId="0" borderId="24" xfId="25" applyFont="1" applyBorder="1" applyAlignment="1">
      <alignment horizontal="left" vertical="center" wrapText="1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167" fontId="18" fillId="0" borderId="6" xfId="26" applyNumberFormat="1" applyFont="1" applyBorder="1" applyAlignment="1">
      <alignment horizontal="center" vertical="center"/>
    </xf>
    <xf numFmtId="167" fontId="18" fillId="0" borderId="11" xfId="26" applyNumberFormat="1" applyFont="1" applyBorder="1" applyAlignment="1">
      <alignment horizontal="center" vertical="center"/>
    </xf>
    <xf numFmtId="167" fontId="18" fillId="0" borderId="5" xfId="26" applyNumberFormat="1" applyFont="1" applyBorder="1" applyAlignment="1">
      <alignment horizontal="center" vertical="center"/>
    </xf>
    <xf numFmtId="167" fontId="18" fillId="4" borderId="7" xfId="26" applyNumberFormat="1" applyFont="1" applyFill="1" applyBorder="1" applyAlignment="1">
      <alignment horizontal="center" vertical="center"/>
    </xf>
    <xf numFmtId="167" fontId="18" fillId="4" borderId="23" xfId="25" applyNumberFormat="1" applyFont="1" applyFill="1" applyBorder="1" applyAlignment="1">
      <alignment horizontal="left" vertical="center" wrapText="1"/>
    </xf>
    <xf numFmtId="167" fontId="18" fillId="4" borderId="24" xfId="25" applyNumberFormat="1" applyFont="1" applyFill="1" applyBorder="1" applyAlignment="1">
      <alignment horizontal="left" vertical="center" wrapText="1"/>
    </xf>
    <xf numFmtId="167" fontId="18" fillId="4" borderId="33" xfId="25" applyNumberFormat="1" applyFont="1" applyFill="1" applyBorder="1" applyAlignment="1">
      <alignment horizontal="center" vertical="center"/>
    </xf>
    <xf numFmtId="167" fontId="18" fillId="4" borderId="34" xfId="25" applyNumberFormat="1" applyFont="1" applyFill="1" applyBorder="1" applyAlignment="1">
      <alignment horizontal="center" vertical="center"/>
    </xf>
    <xf numFmtId="167" fontId="18" fillId="4" borderId="35" xfId="25" applyNumberFormat="1" applyFont="1" applyFill="1" applyBorder="1" applyAlignment="1">
      <alignment horizontal="center" vertical="center"/>
    </xf>
    <xf numFmtId="166" fontId="17" fillId="15" borderId="29" xfId="25" applyFont="1" applyFill="1" applyBorder="1" applyAlignment="1">
      <alignment horizontal="left" vertical="justify"/>
    </xf>
    <xf numFmtId="166" fontId="17" fillId="15" borderId="30" xfId="25" applyFont="1" applyFill="1" applyBorder="1" applyAlignment="1">
      <alignment horizontal="left" vertical="justify"/>
    </xf>
    <xf numFmtId="166" fontId="18" fillId="4" borderId="31" xfId="29" applyFont="1" applyFill="1" applyBorder="1" applyAlignment="1">
      <alignment horizontal="left" vertical="center" wrapText="1"/>
    </xf>
    <xf numFmtId="166" fontId="18" fillId="4" borderId="32" xfId="29" applyFont="1" applyFill="1" applyBorder="1" applyAlignment="1">
      <alignment horizontal="left" vertical="center" wrapText="1"/>
    </xf>
    <xf numFmtId="166" fontId="18" fillId="4" borderId="6" xfId="29" applyFont="1" applyFill="1" applyBorder="1" applyAlignment="1">
      <alignment horizontal="left" vertical="center" wrapText="1"/>
    </xf>
    <xf numFmtId="166" fontId="18" fillId="4" borderId="11" xfId="29" applyFont="1" applyFill="1" applyBorder="1" applyAlignment="1">
      <alignment horizontal="left" vertical="center" wrapText="1"/>
    </xf>
    <xf numFmtId="0" fontId="18" fillId="4" borderId="5" xfId="0" applyFont="1" applyFill="1" applyBorder="1" applyAlignment="1">
      <alignment horizontal="center" vertical="center"/>
    </xf>
    <xf numFmtId="167" fontId="18" fillId="4" borderId="2" xfId="29" applyNumberFormat="1" applyFont="1" applyFill="1" applyBorder="1" applyAlignment="1">
      <alignment horizontal="center" vertical="center"/>
    </xf>
    <xf numFmtId="167" fontId="18" fillId="4" borderId="3" xfId="29" applyNumberFormat="1" applyFont="1" applyFill="1" applyBorder="1" applyAlignment="1">
      <alignment horizontal="center" vertical="center"/>
    </xf>
    <xf numFmtId="166" fontId="18" fillId="4" borderId="3" xfId="29" applyFont="1" applyFill="1" applyBorder="1" applyAlignment="1">
      <alignment horizontal="left" vertical="center" wrapText="1"/>
    </xf>
    <xf numFmtId="166" fontId="18" fillId="4" borderId="4" xfId="29" applyFont="1" applyFill="1" applyBorder="1" applyAlignment="1">
      <alignment horizontal="left" vertical="center" wrapText="1"/>
    </xf>
    <xf numFmtId="167" fontId="18" fillId="4" borderId="3" xfId="0" applyNumberFormat="1" applyFont="1" applyFill="1" applyBorder="1" applyAlignment="1">
      <alignment horizontal="left" vertical="center"/>
    </xf>
    <xf numFmtId="167" fontId="18" fillId="4" borderId="4" xfId="0" applyNumberFormat="1" applyFont="1" applyFill="1" applyBorder="1" applyAlignment="1">
      <alignment horizontal="left" vertical="center"/>
    </xf>
    <xf numFmtId="0" fontId="18" fillId="4" borderId="2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167" fontId="18" fillId="4" borderId="6" xfId="26" applyNumberFormat="1" applyFont="1" applyFill="1" applyBorder="1" applyAlignment="1">
      <alignment horizontal="left" vertical="center" wrapText="1"/>
    </xf>
    <xf numFmtId="167" fontId="18" fillId="4" borderId="11" xfId="26" applyNumberFormat="1" applyFont="1" applyFill="1" applyBorder="1" applyAlignment="1">
      <alignment horizontal="left" vertical="center" wrapText="1"/>
    </xf>
    <xf numFmtId="167" fontId="18" fillId="4" borderId="5" xfId="26" applyNumberFormat="1" applyFont="1" applyFill="1" applyBorder="1" applyAlignment="1">
      <alignment horizontal="left" vertical="center" wrapText="1"/>
    </xf>
    <xf numFmtId="0" fontId="18" fillId="4" borderId="6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67" fontId="18" fillId="4" borderId="6" xfId="0" applyNumberFormat="1" applyFont="1" applyFill="1" applyBorder="1" applyAlignment="1">
      <alignment horizontal="left" vertical="center"/>
    </xf>
    <xf numFmtId="167" fontId="18" fillId="4" borderId="11" xfId="0" applyNumberFormat="1" applyFont="1" applyFill="1" applyBorder="1" applyAlignment="1">
      <alignment horizontal="left" vertical="center"/>
    </xf>
    <xf numFmtId="167" fontId="18" fillId="4" borderId="5" xfId="0" applyNumberFormat="1" applyFont="1" applyFill="1" applyBorder="1" applyAlignment="1">
      <alignment horizontal="left" vertical="center"/>
    </xf>
    <xf numFmtId="10" fontId="35" fillId="0" borderId="1" xfId="0" applyNumberFormat="1" applyFont="1" applyFill="1" applyBorder="1" applyAlignment="1">
      <alignment horizontal="center" vertical="center" wrapText="1"/>
    </xf>
    <xf numFmtId="0" fontId="36" fillId="16" borderId="6" xfId="0" applyFont="1" applyFill="1" applyBorder="1" applyAlignment="1">
      <alignment horizontal="center" vertical="center" wrapText="1"/>
    </xf>
    <xf numFmtId="0" fontId="36" fillId="16" borderId="11" xfId="0" applyFont="1" applyFill="1" applyBorder="1" applyAlignment="1">
      <alignment horizontal="center" vertical="center" wrapText="1"/>
    </xf>
    <xf numFmtId="0" fontId="36" fillId="16" borderId="5" xfId="0" applyFont="1" applyFill="1" applyBorder="1" applyAlignment="1">
      <alignment horizontal="center" vertical="center" wrapText="1"/>
    </xf>
    <xf numFmtId="166" fontId="35" fillId="0" borderId="6" xfId="37" applyFont="1" applyFill="1" applyBorder="1" applyAlignment="1">
      <alignment horizontal="center" vertical="center" wrapText="1"/>
    </xf>
    <xf numFmtId="166" fontId="35" fillId="0" borderId="11" xfId="37" applyFont="1" applyFill="1" applyBorder="1" applyAlignment="1">
      <alignment horizontal="center" vertical="center" wrapText="1"/>
    </xf>
    <xf numFmtId="166" fontId="35" fillId="0" borderId="5" xfId="37" applyFont="1" applyFill="1" applyBorder="1" applyAlignment="1">
      <alignment horizontal="center" vertical="center" wrapText="1"/>
    </xf>
    <xf numFmtId="166" fontId="32" fillId="10" borderId="6" xfId="0" applyNumberFormat="1" applyFont="1" applyFill="1" applyBorder="1" applyAlignment="1">
      <alignment vertical="center"/>
    </xf>
    <xf numFmtId="166" fontId="32" fillId="10" borderId="11" xfId="0" applyNumberFormat="1" applyFont="1" applyFill="1" applyBorder="1" applyAlignment="1">
      <alignment vertical="center"/>
    </xf>
    <xf numFmtId="166" fontId="32" fillId="10" borderId="5" xfId="0" applyNumberFormat="1" applyFont="1" applyFill="1" applyBorder="1" applyAlignment="1">
      <alignment vertical="center"/>
    </xf>
    <xf numFmtId="10" fontId="32" fillId="10" borderId="6" xfId="24" applyNumberFormat="1" applyFont="1" applyFill="1" applyBorder="1" applyAlignment="1">
      <alignment horizontal="center" vertical="center"/>
    </xf>
    <xf numFmtId="10" fontId="32" fillId="10" borderId="11" xfId="24" applyNumberFormat="1" applyFont="1" applyFill="1" applyBorder="1" applyAlignment="1">
      <alignment horizontal="center" vertical="center"/>
    </xf>
    <xf numFmtId="10" fontId="32" fillId="10" borderId="5" xfId="24" applyNumberFormat="1" applyFont="1" applyFill="1" applyBorder="1" applyAlignment="1">
      <alignment horizontal="center" vertical="center"/>
    </xf>
    <xf numFmtId="0" fontId="32" fillId="10" borderId="9" xfId="0" applyFont="1" applyFill="1" applyBorder="1" applyAlignment="1">
      <alignment horizontal="center" vertical="center"/>
    </xf>
    <xf numFmtId="0" fontId="32" fillId="10" borderId="13" xfId="0" applyFont="1" applyFill="1" applyBorder="1" applyAlignment="1">
      <alignment horizontal="center" vertical="center"/>
    </xf>
    <xf numFmtId="0" fontId="32" fillId="10" borderId="12" xfId="0" applyFont="1" applyFill="1" applyBorder="1" applyAlignment="1">
      <alignment horizontal="center" vertical="center"/>
    </xf>
    <xf numFmtId="0" fontId="32" fillId="0" borderId="9" xfId="0" applyFont="1" applyBorder="1" applyAlignment="1">
      <alignment horizontal="left" vertical="center" wrapText="1"/>
    </xf>
    <xf numFmtId="0" fontId="32" fillId="0" borderId="13" xfId="0" applyFont="1" applyBorder="1" applyAlignment="1">
      <alignment horizontal="left" vertical="center" wrapText="1"/>
    </xf>
    <xf numFmtId="0" fontId="32" fillId="0" borderId="12" xfId="0" applyFont="1" applyBorder="1" applyAlignment="1">
      <alignment horizontal="left" vertical="center" wrapText="1"/>
    </xf>
    <xf numFmtId="166" fontId="32" fillId="0" borderId="9" xfId="37" applyFont="1" applyBorder="1" applyAlignment="1">
      <alignment horizontal="center" vertical="center" wrapText="1"/>
    </xf>
    <xf numFmtId="166" fontId="32" fillId="0" borderId="13" xfId="37" applyFont="1" applyBorder="1" applyAlignment="1">
      <alignment horizontal="center" vertical="center" wrapText="1"/>
    </xf>
    <xf numFmtId="166" fontId="32" fillId="0" borderId="12" xfId="37" applyFont="1" applyBorder="1" applyAlignment="1">
      <alignment horizontal="center" vertical="center" wrapText="1"/>
    </xf>
    <xf numFmtId="10" fontId="35" fillId="0" borderId="6" xfId="0" applyNumberFormat="1" applyFont="1" applyFill="1" applyBorder="1" applyAlignment="1">
      <alignment horizontal="center" vertical="center" wrapText="1"/>
    </xf>
    <xf numFmtId="10" fontId="35" fillId="0" borderId="11" xfId="0" applyNumberFormat="1" applyFont="1" applyFill="1" applyBorder="1" applyAlignment="1">
      <alignment horizontal="center" vertical="center" wrapText="1"/>
    </xf>
    <xf numFmtId="10" fontId="35" fillId="0" borderId="5" xfId="0" applyNumberFormat="1" applyFont="1" applyFill="1" applyBorder="1" applyAlignment="1">
      <alignment horizontal="center" vertical="center" wrapText="1"/>
    </xf>
    <xf numFmtId="0" fontId="32" fillId="10" borderId="6" xfId="0" applyFont="1" applyFill="1" applyBorder="1" applyAlignment="1">
      <alignment horizontal="center" vertical="center"/>
    </xf>
    <xf numFmtId="0" fontId="32" fillId="1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0" fillId="0" borderId="11" xfId="0" applyFill="1" applyBorder="1"/>
    <xf numFmtId="0" fontId="0" fillId="0" borderId="5" xfId="0" applyFill="1" applyBorder="1"/>
    <xf numFmtId="0" fontId="32" fillId="10" borderId="14" xfId="0" applyFont="1" applyFill="1" applyBorder="1" applyAlignment="1">
      <alignment horizontal="center" vertical="center" wrapText="1"/>
    </xf>
    <xf numFmtId="0" fontId="32" fillId="10" borderId="15" xfId="0" applyFont="1" applyFill="1" applyBorder="1" applyAlignment="1">
      <alignment horizontal="center" vertical="center" wrapText="1"/>
    </xf>
    <xf numFmtId="0" fontId="32" fillId="10" borderId="16" xfId="0" applyFont="1" applyFill="1" applyBorder="1" applyAlignment="1">
      <alignment horizontal="center" vertical="center" wrapText="1"/>
    </xf>
    <xf numFmtId="0" fontId="32" fillId="10" borderId="17" xfId="0" applyFont="1" applyFill="1" applyBorder="1" applyAlignment="1">
      <alignment horizontal="center" vertical="center" wrapText="1"/>
    </xf>
    <xf numFmtId="0" fontId="32" fillId="10" borderId="10" xfId="0" applyFont="1" applyFill="1" applyBorder="1" applyAlignment="1">
      <alignment horizontal="center" vertical="center" wrapText="1"/>
    </xf>
    <xf numFmtId="0" fontId="32" fillId="10" borderId="18" xfId="0" applyFont="1" applyFill="1" applyBorder="1" applyAlignment="1">
      <alignment horizontal="center" vertical="center" wrapText="1"/>
    </xf>
    <xf numFmtId="0" fontId="32" fillId="10" borderId="11" xfId="0" applyFont="1" applyFill="1" applyBorder="1" applyAlignment="1">
      <alignment horizontal="center" vertical="center"/>
    </xf>
    <xf numFmtId="10" fontId="35" fillId="0" borderId="14" xfId="0" applyNumberFormat="1" applyFont="1" applyFill="1" applyBorder="1" applyAlignment="1">
      <alignment horizontal="center" vertical="center" wrapText="1"/>
    </xf>
    <xf numFmtId="10" fontId="35" fillId="0" borderId="15" xfId="0" applyNumberFormat="1" applyFont="1" applyFill="1" applyBorder="1" applyAlignment="1">
      <alignment horizontal="center" vertical="center" wrapText="1"/>
    </xf>
    <xf numFmtId="10" fontId="35" fillId="0" borderId="16" xfId="0" applyNumberFormat="1" applyFont="1" applyFill="1" applyBorder="1" applyAlignment="1">
      <alignment horizontal="center" vertical="center" wrapText="1"/>
    </xf>
    <xf numFmtId="0" fontId="31" fillId="0" borderId="6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166" fontId="32" fillId="0" borderId="9" xfId="37" applyFont="1" applyFill="1" applyBorder="1" applyAlignment="1">
      <alignment horizontal="center" vertical="center" wrapText="1"/>
    </xf>
    <xf numFmtId="166" fontId="32" fillId="0" borderId="13" xfId="37" applyFont="1" applyFill="1" applyBorder="1" applyAlignment="1">
      <alignment horizontal="center" vertical="center" wrapText="1"/>
    </xf>
    <xf numFmtId="166" fontId="32" fillId="0" borderId="12" xfId="37" applyFont="1" applyFill="1" applyBorder="1" applyAlignment="1">
      <alignment horizontal="center" vertical="center" wrapText="1"/>
    </xf>
    <xf numFmtId="0" fontId="32" fillId="0" borderId="9" xfId="0" applyFont="1" applyFill="1" applyBorder="1" applyAlignment="1">
      <alignment horizontal="left" vertical="center" wrapText="1"/>
    </xf>
    <xf numFmtId="0" fontId="32" fillId="0" borderId="13" xfId="0" applyFont="1" applyFill="1" applyBorder="1" applyAlignment="1">
      <alignment horizontal="left" vertical="center" wrapText="1"/>
    </xf>
    <xf numFmtId="0" fontId="32" fillId="0" borderId="12" xfId="0" applyFont="1" applyFill="1" applyBorder="1" applyAlignment="1">
      <alignment horizontal="left" vertical="center" wrapText="1"/>
    </xf>
    <xf numFmtId="0" fontId="0" fillId="16" borderId="11" xfId="0" applyFill="1" applyBorder="1"/>
    <xf numFmtId="0" fontId="0" fillId="16" borderId="5" xfId="0" applyFill="1" applyBorder="1"/>
    <xf numFmtId="166" fontId="18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32" fillId="10" borderId="1" xfId="0" applyFont="1" applyFill="1" applyBorder="1" applyAlignment="1">
      <alignment horizontal="center" vertical="center" wrapText="1"/>
    </xf>
    <xf numFmtId="0" fontId="32" fillId="10" borderId="1" xfId="0" applyFont="1" applyFill="1" applyBorder="1" applyAlignment="1">
      <alignment horizontal="left" vertical="center"/>
    </xf>
    <xf numFmtId="0" fontId="18" fillId="10" borderId="1" xfId="0" applyFont="1" applyFill="1" applyBorder="1" applyAlignment="1">
      <alignment horizontal="center" vertical="center" wrapText="1"/>
    </xf>
  </cellXfs>
  <cellStyles count="46">
    <cellStyle name="Moeda" xfId="1" builtinId="4"/>
    <cellStyle name="Moeda 11" xfId="2"/>
    <cellStyle name="Moeda 2" xfId="3"/>
    <cellStyle name="Moeda 58" xfId="4"/>
    <cellStyle name="Moeda 67" xfId="5"/>
    <cellStyle name="Moeda 71" xfId="6"/>
    <cellStyle name="Moeda 73" xfId="7"/>
    <cellStyle name="Normal" xfId="0" builtinId="0"/>
    <cellStyle name="Normal 15" xfId="8"/>
    <cellStyle name="Normal 2" xfId="9"/>
    <cellStyle name="Normal 2 2" xfId="10"/>
    <cellStyle name="Normal 2 2 2" xfId="11"/>
    <cellStyle name="Normal 29" xfId="12"/>
    <cellStyle name="Normal 3" xfId="13"/>
    <cellStyle name="Normal 6" xfId="14"/>
    <cellStyle name="Normal 62" xfId="15"/>
    <cellStyle name="Normal 7" xfId="16"/>
    <cellStyle name="Normal 71" xfId="17"/>
    <cellStyle name="Normal 72" xfId="18"/>
    <cellStyle name="Normal 73" xfId="19"/>
    <cellStyle name="Normal_Anexo II e III- Planilha e CPU" xfId="20"/>
    <cellStyle name="Normal_BASE COMPOSIÇÃO" xfId="21"/>
    <cellStyle name="Normal_Plan1" xfId="22"/>
    <cellStyle name="Porcentagem 2" xfId="23"/>
    <cellStyle name="Porcentagem 2 2" xfId="24"/>
    <cellStyle name="Separador de milhares" xfId="25" builtinId="3"/>
    <cellStyle name="Separador de milhares 10 2" xfId="26"/>
    <cellStyle name="Separador de milhares 14" xfId="27"/>
    <cellStyle name="Separador de milhares 16" xfId="28"/>
    <cellStyle name="Separador de milhares 2" xfId="29"/>
    <cellStyle name="Separador de milhares 2 2" xfId="30"/>
    <cellStyle name="Separador de milhares 2 2 2" xfId="31"/>
    <cellStyle name="Separador de milhares 24" xfId="32"/>
    <cellStyle name="Separador de milhares 29" xfId="33"/>
    <cellStyle name="Separador de milhares 3" xfId="34"/>
    <cellStyle name="Separador de milhares 30" xfId="35"/>
    <cellStyle name="Separador de milhares 4" xfId="36"/>
    <cellStyle name="Separador de milhares 4 2" xfId="37"/>
    <cellStyle name="Separador de milhares 40" xfId="38"/>
    <cellStyle name="Separador de milhares 43" xfId="39"/>
    <cellStyle name="Separador de milhares 49" xfId="40"/>
    <cellStyle name="Separador de milhares 5" xfId="41"/>
    <cellStyle name="Separador de milhares 6" xfId="42"/>
    <cellStyle name="Separador de milhares 72" xfId="43"/>
    <cellStyle name="Separador de milhares 73" xfId="44"/>
    <cellStyle name="Separador de milhares 74" xfId="4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95250</xdr:rowOff>
    </xdr:from>
    <xdr:to>
      <xdr:col>2</xdr:col>
      <xdr:colOff>85725</xdr:colOff>
      <xdr:row>6</xdr:row>
      <xdr:rowOff>18879</xdr:rowOff>
    </xdr:to>
    <xdr:pic>
      <xdr:nvPicPr>
        <xdr:cNvPr id="6" name="Imagem 4" descr="Logo.jpe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1" y="95250"/>
          <a:ext cx="1657349" cy="10666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781051</xdr:colOff>
      <xdr:row>0</xdr:row>
      <xdr:rowOff>104776</xdr:rowOff>
    </xdr:from>
    <xdr:to>
      <xdr:col>7</xdr:col>
      <xdr:colOff>771526</xdr:colOff>
      <xdr:row>6</xdr:row>
      <xdr:rowOff>47626</xdr:rowOff>
    </xdr:to>
    <xdr:pic>
      <xdr:nvPicPr>
        <xdr:cNvPr id="7" name="Imagem 4" descr="BRASÃO DA PREFEITURA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467851" y="104776"/>
          <a:ext cx="100965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1809750</xdr:colOff>
      <xdr:row>179</xdr:row>
      <xdr:rowOff>171450</xdr:rowOff>
    </xdr:from>
    <xdr:ext cx="3682098" cy="1125693"/>
    <xdr:sp macro="" textlink="">
      <xdr:nvSpPr>
        <xdr:cNvPr id="5" name="CaixaDeTexto 4"/>
        <xdr:cNvSpPr txBox="1"/>
      </xdr:nvSpPr>
      <xdr:spPr>
        <a:xfrm>
          <a:off x="3533775" y="51711225"/>
          <a:ext cx="3682098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Carlos José de Oliveira Rebelo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Secretário Municipal de Obras, Serviços Urbanos e Habitação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Engenheiro Civil – CREA 1503553540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Portaria nº 011/2021 – GP</a:t>
          </a:r>
        </a:p>
        <a:p>
          <a:pPr algn="ctr"/>
          <a:endParaRPr lang="pt-BR" sz="1100"/>
        </a:p>
      </xdr:txBody>
    </xdr:sp>
    <xdr:clientData/>
  </xdr:oneCellAnchor>
  <xdr:oneCellAnchor>
    <xdr:from>
      <xdr:col>2</xdr:col>
      <xdr:colOff>4000500</xdr:colOff>
      <xdr:row>188</xdr:row>
      <xdr:rowOff>171451</xdr:rowOff>
    </xdr:from>
    <xdr:ext cx="4609883" cy="873125"/>
    <xdr:sp macro="" textlink="">
      <xdr:nvSpPr>
        <xdr:cNvPr id="9" name="Text Box 2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5724525" y="53425726"/>
          <a:ext cx="4609883" cy="8731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1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1" i="1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Rosana Vieira Silva</a:t>
          </a:r>
        </a:p>
        <a:p>
          <a:pPr algn="ctr" rtl="1">
            <a:defRPr sz="1000"/>
          </a:pPr>
          <a:r>
            <a:rPr lang="pt-BR" sz="1100" b="0" i="0" strike="noStrike">
              <a:solidFill>
                <a:srgbClr val="000000"/>
              </a:solidFill>
              <a:latin typeface="+mn-lt"/>
              <a:cs typeface="Arial" pitchFamily="34" charset="0"/>
            </a:rPr>
            <a:t>Engenheiro Civil - CREA</a:t>
          </a: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  RN </a:t>
          </a:r>
          <a:r>
            <a:rPr lang="pt-BR" sz="1100" b="0" i="0">
              <a:latin typeface="+mn-lt"/>
              <a:ea typeface="+mn-ea"/>
              <a:cs typeface="Arial" pitchFamily="34" charset="0"/>
            </a:rPr>
            <a:t>151061510-5</a:t>
          </a:r>
          <a:endParaRPr lang="pt-BR" sz="1100" b="0" i="0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Portaria nº 1349/2019 - GP</a:t>
          </a: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l" rtl="1">
            <a:defRPr sz="1000"/>
          </a:pP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228600</xdr:colOff>
      <xdr:row>143</xdr:row>
      <xdr:rowOff>0</xdr:rowOff>
    </xdr:from>
    <xdr:ext cx="184731" cy="264560"/>
    <xdr:sp macro="" textlink="">
      <xdr:nvSpPr>
        <xdr:cNvPr id="3" name="CaixaDeTexto 2"/>
        <xdr:cNvSpPr txBox="1"/>
      </xdr:nvSpPr>
      <xdr:spPr>
        <a:xfrm>
          <a:off x="12177183" y="11972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t-BR"/>
        </a:p>
      </xdr:txBody>
    </xdr:sp>
    <xdr:clientData/>
  </xdr:oneCellAnchor>
  <xdr:twoCellAnchor editAs="oneCell">
    <xdr:from>
      <xdr:col>10</xdr:col>
      <xdr:colOff>295275</xdr:colOff>
      <xdr:row>143</xdr:row>
      <xdr:rowOff>0</xdr:rowOff>
    </xdr:from>
    <xdr:to>
      <xdr:col>13</xdr:col>
      <xdr:colOff>447675</xdr:colOff>
      <xdr:row>154</xdr:row>
      <xdr:rowOff>115955</xdr:rowOff>
    </xdr:to>
    <xdr:pic>
      <xdr:nvPicPr>
        <xdr:cNvPr id="4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62250" t="27334" r="17375" b="35333"/>
        <a:stretch>
          <a:fillRect/>
        </a:stretch>
      </xdr:blipFill>
      <xdr:spPr bwMode="auto">
        <a:xfrm>
          <a:off x="10191750" y="93449774"/>
          <a:ext cx="1981200" cy="2722631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0</xdr:col>
      <xdr:colOff>306916</xdr:colOff>
      <xdr:row>1</xdr:row>
      <xdr:rowOff>84667</xdr:rowOff>
    </xdr:from>
    <xdr:to>
      <xdr:col>1</xdr:col>
      <xdr:colOff>624416</xdr:colOff>
      <xdr:row>7</xdr:row>
      <xdr:rowOff>30692</xdr:rowOff>
    </xdr:to>
    <xdr:pic>
      <xdr:nvPicPr>
        <xdr:cNvPr id="8" name="Imagem 4" descr="Logo.jpe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916" y="285750"/>
          <a:ext cx="1778000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357716</xdr:colOff>
      <xdr:row>1</xdr:row>
      <xdr:rowOff>60327</xdr:rowOff>
    </xdr:from>
    <xdr:to>
      <xdr:col>5</xdr:col>
      <xdr:colOff>321732</xdr:colOff>
      <xdr:row>6</xdr:row>
      <xdr:rowOff>112185</xdr:rowOff>
    </xdr:to>
    <xdr:pic>
      <xdr:nvPicPr>
        <xdr:cNvPr id="9" name="Imagem 4" descr="BRASÃO DA PREFEITURA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316383" y="261410"/>
          <a:ext cx="958849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1989666</xdr:colOff>
      <xdr:row>453</xdr:row>
      <xdr:rowOff>201082</xdr:rowOff>
    </xdr:from>
    <xdr:ext cx="3682098" cy="1125693"/>
    <xdr:sp macro="" textlink="">
      <xdr:nvSpPr>
        <xdr:cNvPr id="10" name="CaixaDeTexto 9"/>
        <xdr:cNvSpPr txBox="1"/>
      </xdr:nvSpPr>
      <xdr:spPr>
        <a:xfrm>
          <a:off x="3450166" y="93281499"/>
          <a:ext cx="3682098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Carlos José de Oliveira Rebelo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Secretário Municipal de Obras, Serviços Urbanos e Habitação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Engenheiro Civil – CREA 1503553540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Portaria nº 011/2021 – GP</a:t>
          </a:r>
        </a:p>
        <a:p>
          <a:pPr algn="ctr"/>
          <a:endParaRPr lang="pt-BR" sz="1100"/>
        </a:p>
      </xdr:txBody>
    </xdr:sp>
    <xdr:clientData/>
  </xdr:oneCellAnchor>
  <xdr:oneCellAnchor>
    <xdr:from>
      <xdr:col>1</xdr:col>
      <xdr:colOff>1817160</xdr:colOff>
      <xdr:row>462</xdr:row>
      <xdr:rowOff>45509</xdr:rowOff>
    </xdr:from>
    <xdr:ext cx="4609883" cy="873125"/>
    <xdr:sp macro="" textlink="">
      <xdr:nvSpPr>
        <xdr:cNvPr id="11" name="Text Box 2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3277660" y="94935676"/>
          <a:ext cx="4609883" cy="8731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1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1" i="1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Rosana Vieira Silva</a:t>
          </a:r>
        </a:p>
        <a:p>
          <a:pPr algn="ctr" rtl="1">
            <a:defRPr sz="1000"/>
          </a:pPr>
          <a:r>
            <a:rPr lang="pt-BR" sz="1100" b="0" i="0" strike="noStrike">
              <a:solidFill>
                <a:srgbClr val="000000"/>
              </a:solidFill>
              <a:latin typeface="+mn-lt"/>
              <a:cs typeface="Arial" pitchFamily="34" charset="0"/>
            </a:rPr>
            <a:t>Engenheiro Civil - CREA</a:t>
          </a: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  RN </a:t>
          </a:r>
          <a:r>
            <a:rPr lang="pt-BR" sz="1100" b="0" i="0">
              <a:latin typeface="+mn-lt"/>
              <a:ea typeface="+mn-ea"/>
              <a:cs typeface="Arial" pitchFamily="34" charset="0"/>
            </a:rPr>
            <a:t>151061510-5</a:t>
          </a:r>
          <a:endParaRPr lang="pt-BR" sz="1100" b="0" i="0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Portaria nº 1349/2019 - GP</a:t>
          </a: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l" rtl="1">
            <a:defRPr sz="1000"/>
          </a:pP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867840</xdr:colOff>
      <xdr:row>80</xdr:row>
      <xdr:rowOff>201082</xdr:rowOff>
    </xdr:from>
    <xdr:ext cx="3682098" cy="1125693"/>
    <xdr:sp macro="" textlink="">
      <xdr:nvSpPr>
        <xdr:cNvPr id="6" name="CaixaDeTexto 5"/>
        <xdr:cNvSpPr txBox="1"/>
      </xdr:nvSpPr>
      <xdr:spPr>
        <a:xfrm>
          <a:off x="2963340" y="10519832"/>
          <a:ext cx="3682098" cy="1125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 b="1" i="1">
              <a:solidFill>
                <a:schemeClr val="tx1"/>
              </a:solidFill>
              <a:latin typeface="+mn-lt"/>
              <a:ea typeface="+mn-ea"/>
              <a:cs typeface="+mn-cs"/>
            </a:rPr>
            <a:t>Carlos José de Oliveira Rebelo</a:t>
          </a:r>
          <a:endParaRPr lang="pt-BR" sz="1100" i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Secretário Municipal de Obras, Serviços Urbanos e Habitação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Engenheiro Civil – CREA 1503553540</a:t>
          </a:r>
        </a:p>
        <a:p>
          <a:pPr algn="ctr"/>
          <a:r>
            <a:rPr lang="pt-BR" sz="1100">
              <a:solidFill>
                <a:schemeClr val="tx1"/>
              </a:solidFill>
              <a:latin typeface="+mn-lt"/>
              <a:ea typeface="+mn-ea"/>
              <a:cs typeface="+mn-cs"/>
            </a:rPr>
            <a:t>Portaria nº 011/2021 – GP</a:t>
          </a:r>
        </a:p>
        <a:p>
          <a:pPr algn="ctr"/>
          <a:endParaRPr lang="pt-BR" sz="1100"/>
        </a:p>
      </xdr:txBody>
    </xdr:sp>
    <xdr:clientData/>
  </xdr:oneCellAnchor>
  <xdr:oneCellAnchor>
    <xdr:from>
      <xdr:col>14</xdr:col>
      <xdr:colOff>12702</xdr:colOff>
      <xdr:row>89</xdr:row>
      <xdr:rowOff>133351</xdr:rowOff>
    </xdr:from>
    <xdr:ext cx="3437466" cy="873125"/>
    <xdr:sp macro="" textlink="">
      <xdr:nvSpPr>
        <xdr:cNvPr id="7" name="Text Box 2">
          <a:extLst>
            <a:ext uri="{FF2B5EF4-FFF2-40B4-BE49-F238E27FC236}"/>
          </a:extLst>
        </xdr:cNvPr>
        <xdr:cNvSpPr txBox="1">
          <a:spLocks noChangeArrowheads="1"/>
        </xdr:cNvSpPr>
      </xdr:nvSpPr>
      <xdr:spPr bwMode="auto">
        <a:xfrm>
          <a:off x="5738285" y="12261851"/>
          <a:ext cx="3437466" cy="8731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wrap="square" lIns="91440" tIns="45720" rIns="91440" bIns="45720" anchor="t" upright="1">
          <a:noAutofit/>
        </a:bodyPr>
        <a:lstStyle/>
        <a:p>
          <a:pPr algn="ctr" rtl="1">
            <a:defRPr sz="1000"/>
          </a:pPr>
          <a:endParaRPr lang="pt-BR" sz="1100" b="1" i="1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1" i="1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Rosana Vieira Silva</a:t>
          </a:r>
        </a:p>
        <a:p>
          <a:pPr algn="ctr" rtl="1">
            <a:defRPr sz="1000"/>
          </a:pPr>
          <a:r>
            <a:rPr lang="pt-BR" sz="1100" b="0" i="0" strike="noStrike">
              <a:solidFill>
                <a:srgbClr val="000000"/>
              </a:solidFill>
              <a:latin typeface="+mn-lt"/>
              <a:cs typeface="Arial" pitchFamily="34" charset="0"/>
            </a:rPr>
            <a:t>Engenheiro Civil - CREA</a:t>
          </a: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  RN </a:t>
          </a:r>
          <a:r>
            <a:rPr lang="pt-BR" sz="1100" b="0" i="0">
              <a:latin typeface="+mn-lt"/>
              <a:ea typeface="+mn-ea"/>
              <a:cs typeface="Arial" pitchFamily="34" charset="0"/>
            </a:rPr>
            <a:t>151061510-5</a:t>
          </a:r>
          <a:endParaRPr lang="pt-BR" sz="1100" b="0" i="0" strike="noStrike" baseline="0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ctr" rtl="1">
            <a:defRPr sz="1000"/>
          </a:pPr>
          <a:r>
            <a:rPr lang="pt-BR" sz="1100" b="0" i="0" strike="noStrike" baseline="0">
              <a:solidFill>
                <a:srgbClr val="000000"/>
              </a:solidFill>
              <a:latin typeface="+mn-lt"/>
              <a:cs typeface="Arial" pitchFamily="34" charset="0"/>
            </a:rPr>
            <a:t>Portaria nº 1349/2019 - GP</a:t>
          </a: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  <a:p>
          <a:pPr algn="l" rtl="1">
            <a:defRPr sz="1000"/>
          </a:pPr>
          <a:endParaRPr lang="pt-BR" sz="1100" b="0" i="0" strike="noStrike">
            <a:solidFill>
              <a:srgbClr val="000000"/>
            </a:solidFill>
            <a:latin typeface="+mn-lt"/>
            <a:cs typeface="Arial" pitchFamily="34" charset="0"/>
          </a:endParaRPr>
        </a:p>
      </xdr:txBody>
    </xdr:sp>
    <xdr:clientData/>
  </xdr:oneCellAnchor>
  <xdr:twoCellAnchor editAs="oneCell">
    <xdr:from>
      <xdr:col>0</xdr:col>
      <xdr:colOff>253999</xdr:colOff>
      <xdr:row>1</xdr:row>
      <xdr:rowOff>31751</xdr:rowOff>
    </xdr:from>
    <xdr:to>
      <xdr:col>1</xdr:col>
      <xdr:colOff>1596098</xdr:colOff>
      <xdr:row>6</xdr:row>
      <xdr:rowOff>169334</xdr:rowOff>
    </xdr:to>
    <xdr:pic>
      <xdr:nvPicPr>
        <xdr:cNvPr id="8" name="Imagem 4" descr="Logo.jpe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9" y="232834"/>
          <a:ext cx="1776016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23</xdr:col>
      <xdr:colOff>116415</xdr:colOff>
      <xdr:row>1</xdr:row>
      <xdr:rowOff>33872</xdr:rowOff>
    </xdr:from>
    <xdr:to>
      <xdr:col>27</xdr:col>
      <xdr:colOff>100540</xdr:colOff>
      <xdr:row>6</xdr:row>
      <xdr:rowOff>85730</xdr:rowOff>
    </xdr:to>
    <xdr:pic>
      <xdr:nvPicPr>
        <xdr:cNvPr id="9" name="Imagem 4" descr="BRASÃO DA PREFEITURA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32748" y="234955"/>
          <a:ext cx="957792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volt10\Trabalho\CLIENTES%20EXTERNOS\PREFEITURA%20MUNICIPAL%20DE%20ITUPIRANGA\Secretaria%20de%20Educa&#231;&#227;o\Planilhas%20e%20Composi&#231;&#245;es\Kilita_Planilhas%20e%20Especifica&#231;&#245;es\Projeto%20Breu\Composi&#231;&#227;o%20de%20Pre&#231;o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c\Breu\Escola%20do%20Breu-11-02-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%23SEC.%20OBRAS%202021%20-%202024/UBS'S/UBS%20SANTA%20ISABEL/Planilha%20UBS%20Santa%20Isabel%20-%20Reprograma&#231;&#227;o%202019%20-%20Sinapi%20Dezembro.20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DI"/>
      <sheetName val="INSUMOS"/>
      <sheetName val="COMPOSIÇÃO"/>
      <sheetName val="12-BELÉM"/>
      <sheetName val="12-HORIZONTE"/>
      <sheetName val="04-CALIFORNIA"/>
      <sheetName val="04-MOJU"/>
      <sheetName val="COMP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reços"/>
      <sheetName val="Bloco2x4"/>
      <sheetName val="Bloco1x3"/>
      <sheetName val="BlocoAdm"/>
      <sheetName val="BlocoCan"/>
      <sheetName val="Lista2x4"/>
      <sheetName val="Lista1x3"/>
      <sheetName val="Lista Adm"/>
      <sheetName val="ListaCan"/>
      <sheetName val="Resumo"/>
    </sheetNames>
    <sheetDataSet>
      <sheetData sheetId="0" refreshError="1">
        <row r="15">
          <cell r="C15">
            <v>15</v>
          </cell>
        </row>
        <row r="277">
          <cell r="C277">
            <v>1.71</v>
          </cell>
        </row>
        <row r="278">
          <cell r="C278">
            <v>1.56</v>
          </cell>
        </row>
        <row r="286">
          <cell r="C286">
            <v>8</v>
          </cell>
        </row>
        <row r="291">
          <cell r="C291">
            <v>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rogramação 2019"/>
      <sheetName val="Composição"/>
      <sheetName val="COMPOSIÇÕES DE CUSTO UNITÁRIO"/>
      <sheetName val="CRON. FÍS REPROGRAMAÇÃO"/>
    </sheetNames>
    <sheetDataSet>
      <sheetData sheetId="0">
        <row r="322">
          <cell r="H322">
            <v>523514.44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U191"/>
  <sheetViews>
    <sheetView view="pageBreakPreview" topLeftCell="A156" zoomScaleNormal="100" zoomScaleSheetLayoutView="100" workbookViewId="0">
      <selection activeCell="A175" sqref="A175:G175"/>
    </sheetView>
  </sheetViews>
  <sheetFormatPr defaultRowHeight="15"/>
  <cols>
    <col min="1" max="1" width="9.7109375" style="315" customWidth="1"/>
    <col min="2" max="2" width="16.140625" style="1" bestFit="1" customWidth="1"/>
    <col min="3" max="3" width="69.42578125" style="289" customWidth="1"/>
    <col min="4" max="4" width="7" style="5" bestFit="1" customWidth="1"/>
    <col min="5" max="5" width="12.140625" style="13" customWidth="1"/>
    <col min="6" max="6" width="15" style="455" customWidth="1"/>
    <col min="7" max="7" width="15.28515625" style="281" customWidth="1"/>
    <col min="8" max="8" width="16.28515625" style="13" customWidth="1"/>
    <col min="9" max="9" width="18.42578125" style="13" customWidth="1"/>
    <col min="10" max="10" width="11.5703125" style="2" bestFit="1" customWidth="1"/>
    <col min="11" max="11" width="9.140625" style="5"/>
    <col min="12" max="12" width="15" style="5" bestFit="1" customWidth="1"/>
    <col min="13" max="16384" width="9.140625" style="5"/>
  </cols>
  <sheetData>
    <row r="1" spans="1:27">
      <c r="A1" s="448"/>
      <c r="B1" s="382"/>
      <c r="C1" s="383"/>
      <c r="D1" s="384"/>
      <c r="E1" s="385"/>
      <c r="F1" s="450"/>
      <c r="G1" s="386"/>
      <c r="H1" s="385"/>
      <c r="I1" s="273" t="s">
        <v>216</v>
      </c>
      <c r="J1" s="273">
        <v>1.2882</v>
      </c>
    </row>
    <row r="2" spans="1:27">
      <c r="B2" s="387"/>
      <c r="C2" s="383"/>
      <c r="D2" s="384"/>
      <c r="E2" s="385"/>
      <c r="F2" s="450"/>
      <c r="G2" s="386"/>
      <c r="H2" s="385"/>
      <c r="I2" s="7"/>
    </row>
    <row r="3" spans="1:27" s="13" customFormat="1">
      <c r="A3" s="315"/>
      <c r="B3" s="387"/>
      <c r="C3" s="383"/>
      <c r="D3" s="384"/>
      <c r="E3" s="385"/>
      <c r="F3" s="450"/>
      <c r="G3" s="386"/>
      <c r="H3" s="385"/>
      <c r="I3" s="7"/>
      <c r="J3" s="2"/>
    </row>
    <row r="4" spans="1:27">
      <c r="B4" s="387"/>
      <c r="C4" s="383"/>
      <c r="D4" s="384"/>
      <c r="E4" s="385"/>
      <c r="F4" s="450"/>
      <c r="G4" s="386"/>
      <c r="H4" s="385"/>
      <c r="I4" s="7"/>
    </row>
    <row r="5" spans="1:27">
      <c r="B5" s="387"/>
      <c r="C5" s="383"/>
      <c r="D5" s="384"/>
      <c r="E5" s="385"/>
      <c r="F5" s="450"/>
      <c r="G5" s="386"/>
      <c r="H5" s="385"/>
      <c r="I5" s="7"/>
    </row>
    <row r="6" spans="1:27">
      <c r="A6" s="549" t="s">
        <v>0</v>
      </c>
      <c r="B6" s="549"/>
      <c r="C6" s="549"/>
      <c r="D6" s="549"/>
      <c r="E6" s="549"/>
      <c r="F6" s="549"/>
      <c r="G6" s="549"/>
      <c r="H6" s="549"/>
      <c r="I6" s="259"/>
    </row>
    <row r="7" spans="1:27">
      <c r="A7" s="549" t="s">
        <v>1</v>
      </c>
      <c r="B7" s="549"/>
      <c r="C7" s="549"/>
      <c r="D7" s="549"/>
      <c r="E7" s="549"/>
      <c r="F7" s="549"/>
      <c r="G7" s="549"/>
      <c r="H7" s="549"/>
      <c r="I7" s="259"/>
    </row>
    <row r="8" spans="1:27">
      <c r="A8" s="549" t="s">
        <v>437</v>
      </c>
      <c r="B8" s="549"/>
      <c r="C8" s="549"/>
      <c r="D8" s="549"/>
      <c r="E8" s="549"/>
      <c r="F8" s="549"/>
      <c r="G8" s="549"/>
      <c r="H8" s="549"/>
      <c r="I8" s="259"/>
    </row>
    <row r="9" spans="1:27">
      <c r="B9" s="387"/>
      <c r="C9" s="388"/>
      <c r="D9" s="389"/>
      <c r="E9" s="385"/>
      <c r="F9" s="450"/>
      <c r="G9" s="386"/>
      <c r="H9" s="385"/>
      <c r="I9" s="7"/>
    </row>
    <row r="10" spans="1:27" ht="15" customHeight="1">
      <c r="A10" s="551" t="s">
        <v>46</v>
      </c>
      <c r="B10" s="551"/>
      <c r="C10" s="551"/>
      <c r="D10" s="551"/>
      <c r="E10" s="551"/>
      <c r="F10" s="551"/>
      <c r="G10" s="551"/>
      <c r="H10" s="551"/>
      <c r="I10" s="258"/>
    </row>
    <row r="11" spans="1:27" s="13" customFormat="1" ht="15" customHeight="1">
      <c r="A11" s="321"/>
      <c r="B11" s="390"/>
      <c r="C11" s="390"/>
      <c r="D11" s="390"/>
      <c r="E11" s="390"/>
      <c r="F11" s="321"/>
      <c r="G11" s="390"/>
      <c r="H11" s="390"/>
      <c r="I11" s="321"/>
      <c r="J11" s="2"/>
    </row>
    <row r="12" spans="1:27" s="13" customFormat="1" ht="15" customHeight="1">
      <c r="A12" s="550" t="s">
        <v>802</v>
      </c>
      <c r="B12" s="550"/>
      <c r="C12" s="550"/>
      <c r="D12" s="550"/>
      <c r="E12" s="550"/>
      <c r="F12" s="550"/>
      <c r="G12" s="550"/>
      <c r="H12" s="550"/>
      <c r="I12" s="6" t="s">
        <v>450</v>
      </c>
      <c r="J12" s="2"/>
    </row>
    <row r="13" spans="1:27" s="13" customFormat="1" ht="15" customHeight="1">
      <c r="A13" s="553"/>
      <c r="B13" s="553"/>
      <c r="C13" s="553"/>
      <c r="D13" s="553"/>
      <c r="E13" s="553"/>
      <c r="F13" s="553"/>
      <c r="G13" s="553"/>
      <c r="H13" s="553"/>
      <c r="I13" s="6"/>
      <c r="J13" s="2"/>
    </row>
    <row r="14" spans="1:27" s="13" customFormat="1" ht="15" customHeight="1">
      <c r="A14" s="321"/>
      <c r="B14" s="403"/>
      <c r="C14" s="403"/>
      <c r="D14" s="403"/>
      <c r="E14" s="403"/>
      <c r="F14" s="321"/>
      <c r="G14" s="403"/>
      <c r="H14" s="403"/>
      <c r="I14" s="6"/>
      <c r="J14" s="2"/>
    </row>
    <row r="15" spans="1:27" s="13" customFormat="1">
      <c r="A15" s="449" t="s">
        <v>502</v>
      </c>
      <c r="B15" s="392"/>
      <c r="C15" s="393"/>
      <c r="D15" s="392"/>
      <c r="E15" s="390"/>
      <c r="F15" s="451"/>
      <c r="G15" s="394"/>
      <c r="H15" s="390"/>
      <c r="I15" s="258"/>
      <c r="J15" s="2"/>
      <c r="L15"/>
    </row>
    <row r="16" spans="1:27">
      <c r="A16" s="552" t="s">
        <v>833</v>
      </c>
      <c r="B16" s="552"/>
      <c r="C16" s="552"/>
      <c r="D16" s="552"/>
      <c r="E16" s="552"/>
      <c r="F16" s="552"/>
      <c r="G16" s="552"/>
      <c r="H16" s="552"/>
      <c r="I16" s="552"/>
      <c r="J16" s="552"/>
      <c r="K16" s="552"/>
      <c r="L16" s="552"/>
      <c r="M16" s="552"/>
      <c r="N16" s="552"/>
      <c r="O16" s="552"/>
      <c r="P16" s="552"/>
      <c r="Q16" s="552"/>
      <c r="R16" s="552"/>
      <c r="S16" s="552"/>
      <c r="T16" s="552"/>
      <c r="U16" s="552"/>
      <c r="V16" s="552"/>
      <c r="W16" s="552"/>
      <c r="X16" s="552"/>
      <c r="Y16" s="552"/>
      <c r="Z16" s="552"/>
      <c r="AA16" s="552"/>
    </row>
    <row r="17" spans="1:27" s="13" customFormat="1">
      <c r="A17" s="545" t="s">
        <v>540</v>
      </c>
      <c r="B17" s="546"/>
      <c r="C17" s="546"/>
      <c r="D17" s="546"/>
      <c r="E17" s="546"/>
      <c r="F17" s="546"/>
      <c r="G17" s="546"/>
      <c r="H17" s="546"/>
      <c r="I17" s="546"/>
      <c r="J17" s="546"/>
      <c r="K17" s="546"/>
      <c r="L17" s="546"/>
      <c r="M17" s="546"/>
      <c r="N17" s="546"/>
      <c r="O17" s="546"/>
      <c r="P17" s="546"/>
      <c r="Q17" s="546"/>
      <c r="R17" s="546"/>
      <c r="S17" s="546"/>
      <c r="T17" s="546"/>
      <c r="U17" s="546"/>
      <c r="V17" s="546"/>
      <c r="W17" s="546"/>
      <c r="X17" s="546"/>
      <c r="Y17" s="546"/>
      <c r="Z17" s="546"/>
      <c r="AA17" s="546"/>
    </row>
    <row r="18" spans="1:27" ht="48.75" customHeight="1">
      <c r="A18" s="324" t="s">
        <v>2</v>
      </c>
      <c r="B18" s="324" t="s">
        <v>61</v>
      </c>
      <c r="C18" s="322" t="s">
        <v>3</v>
      </c>
      <c r="D18" s="447" t="s">
        <v>4</v>
      </c>
      <c r="E18" s="255" t="s">
        <v>5</v>
      </c>
      <c r="F18" s="482" t="s">
        <v>424</v>
      </c>
      <c r="G18" s="291" t="s">
        <v>574</v>
      </c>
      <c r="H18" s="255" t="s">
        <v>6</v>
      </c>
      <c r="I18" s="260"/>
    </row>
    <row r="19" spans="1:27">
      <c r="A19" s="497">
        <v>1</v>
      </c>
      <c r="B19" s="495" t="s">
        <v>837</v>
      </c>
      <c r="C19" s="495"/>
      <c r="D19" s="496"/>
      <c r="E19" s="445"/>
      <c r="F19" s="482"/>
      <c r="G19" s="280"/>
      <c r="H19" s="445"/>
      <c r="I19" s="261"/>
    </row>
    <row r="20" spans="1:27" s="12" customFormat="1">
      <c r="A20" s="219" t="s">
        <v>7</v>
      </c>
      <c r="B20" s="317" t="s">
        <v>88</v>
      </c>
      <c r="C20" s="244" t="s">
        <v>43</v>
      </c>
      <c r="D20" s="285" t="s">
        <v>18</v>
      </c>
      <c r="E20" s="325">
        <v>1</v>
      </c>
      <c r="F20" s="326">
        <f>Composição!F36</f>
        <v>1483.32</v>
      </c>
      <c r="G20" s="326">
        <f t="shared" ref="G20:G23" si="0">F20*$J$1</f>
        <v>1910.81</v>
      </c>
      <c r="H20" s="327">
        <f t="shared" ref="H20:H23" si="1">E20*G20</f>
        <v>1910.81</v>
      </c>
      <c r="I20" s="262"/>
      <c r="J20" s="10"/>
    </row>
    <row r="21" spans="1:27" s="9" customFormat="1" ht="18.75" customHeight="1">
      <c r="A21" s="219" t="s">
        <v>9</v>
      </c>
      <c r="B21" s="501" t="s">
        <v>503</v>
      </c>
      <c r="C21" s="502" t="s">
        <v>832</v>
      </c>
      <c r="D21" s="285" t="s">
        <v>11</v>
      </c>
      <c r="E21" s="503">
        <v>6</v>
      </c>
      <c r="F21" s="328">
        <v>173.48</v>
      </c>
      <c r="G21" s="328">
        <f t="shared" si="0"/>
        <v>223.48</v>
      </c>
      <c r="H21" s="329">
        <f t="shared" si="1"/>
        <v>1340.88</v>
      </c>
      <c r="I21" s="279">
        <f>2.88*1.8</f>
        <v>5.18</v>
      </c>
      <c r="J21" s="292">
        <f>2*4</f>
        <v>8</v>
      </c>
      <c r="K21" s="293"/>
      <c r="L21" s="235"/>
    </row>
    <row r="22" spans="1:27" s="12" customFormat="1">
      <c r="A22" s="219" t="s">
        <v>10</v>
      </c>
      <c r="B22" s="501" t="s">
        <v>601</v>
      </c>
      <c r="C22" s="502" t="s">
        <v>602</v>
      </c>
      <c r="D22" s="504" t="s">
        <v>17</v>
      </c>
      <c r="E22" s="325">
        <f>18.32+6.8+2</f>
        <v>27.12</v>
      </c>
      <c r="F22" s="328">
        <v>44.4</v>
      </c>
      <c r="G22" s="326">
        <f t="shared" ref="G22" si="2">F22*$J$1</f>
        <v>57.2</v>
      </c>
      <c r="H22" s="327">
        <f t="shared" ref="H22" si="3">E22*G22</f>
        <v>1551.26</v>
      </c>
      <c r="I22" s="279"/>
      <c r="J22" s="292"/>
      <c r="K22" s="293"/>
      <c r="L22" s="235"/>
    </row>
    <row r="23" spans="1:27" s="12" customFormat="1">
      <c r="A23" s="219" t="s">
        <v>685</v>
      </c>
      <c r="B23" s="501" t="s">
        <v>523</v>
      </c>
      <c r="C23" s="244" t="s">
        <v>524</v>
      </c>
      <c r="D23" s="285" t="s">
        <v>11</v>
      </c>
      <c r="E23" s="503">
        <f>E150</f>
        <v>282</v>
      </c>
      <c r="F23" s="328">
        <v>2.39</v>
      </c>
      <c r="G23" s="326">
        <f t="shared" si="0"/>
        <v>3.08</v>
      </c>
      <c r="H23" s="327">
        <f t="shared" si="1"/>
        <v>868.56</v>
      </c>
      <c r="I23" s="279"/>
      <c r="J23" s="292"/>
      <c r="K23" s="293"/>
      <c r="L23" s="235"/>
    </row>
    <row r="24" spans="1:27">
      <c r="A24" s="544" t="s">
        <v>291</v>
      </c>
      <c r="B24" s="544"/>
      <c r="C24" s="544"/>
      <c r="D24" s="544"/>
      <c r="E24" s="544"/>
      <c r="F24" s="544"/>
      <c r="G24" s="544"/>
      <c r="H24" s="274">
        <f>SUM(H20:H23)</f>
        <v>5671.51</v>
      </c>
      <c r="I24" s="264">
        <f>H24</f>
        <v>5671.51</v>
      </c>
    </row>
    <row r="25" spans="1:27" s="13" customFormat="1">
      <c r="A25" s="497">
        <v>2</v>
      </c>
      <c r="B25" s="495" t="s">
        <v>838</v>
      </c>
      <c r="C25" s="495"/>
      <c r="D25" s="496"/>
      <c r="E25" s="283"/>
      <c r="F25" s="482"/>
      <c r="G25" s="284"/>
      <c r="H25" s="283"/>
      <c r="I25" s="264"/>
      <c r="J25" s="2"/>
    </row>
    <row r="26" spans="1:27" s="13" customFormat="1" ht="30">
      <c r="A26" s="460" t="s">
        <v>485</v>
      </c>
      <c r="B26" s="21">
        <v>93358</v>
      </c>
      <c r="C26" s="505" t="s">
        <v>12</v>
      </c>
      <c r="D26" s="285" t="s">
        <v>8</v>
      </c>
      <c r="E26" s="285">
        <v>20.91</v>
      </c>
      <c r="F26" s="290">
        <v>59.57</v>
      </c>
      <c r="G26" s="290">
        <f t="shared" ref="G26:G34" si="4">F26*$J$1</f>
        <v>76.739999999999995</v>
      </c>
      <c r="H26" s="319">
        <f>E26*G26</f>
        <v>1604.63</v>
      </c>
      <c r="I26" s="264"/>
      <c r="J26" s="2"/>
    </row>
    <row r="27" spans="1:27" s="13" customFormat="1">
      <c r="A27" s="460" t="s">
        <v>535</v>
      </c>
      <c r="B27" s="21">
        <v>101616</v>
      </c>
      <c r="C27" s="505" t="s">
        <v>13</v>
      </c>
      <c r="D27" s="286" t="s">
        <v>11</v>
      </c>
      <c r="E27" s="285">
        <v>26.39</v>
      </c>
      <c r="F27" s="290">
        <v>4.37</v>
      </c>
      <c r="G27" s="290">
        <f t="shared" si="4"/>
        <v>5.63</v>
      </c>
      <c r="H27" s="319">
        <f t="shared" ref="H27:H35" si="5">E27*G27</f>
        <v>148.58000000000001</v>
      </c>
      <c r="I27" s="264"/>
      <c r="J27" s="2"/>
    </row>
    <row r="28" spans="1:27" s="13" customFormat="1" ht="30">
      <c r="A28" s="460" t="s">
        <v>677</v>
      </c>
      <c r="B28" s="21" t="s">
        <v>501</v>
      </c>
      <c r="C28" s="505" t="s">
        <v>506</v>
      </c>
      <c r="D28" s="285" t="s">
        <v>8</v>
      </c>
      <c r="E28" s="285">
        <v>0.36</v>
      </c>
      <c r="F28" s="290">
        <v>584.20000000000005</v>
      </c>
      <c r="G28" s="290">
        <f t="shared" si="4"/>
        <v>752.57</v>
      </c>
      <c r="H28" s="319">
        <f t="shared" si="5"/>
        <v>270.93</v>
      </c>
      <c r="I28" s="264"/>
      <c r="J28" s="2"/>
    </row>
    <row r="29" spans="1:27" s="13" customFormat="1">
      <c r="A29" s="460" t="s">
        <v>678</v>
      </c>
      <c r="B29" s="21">
        <v>92791</v>
      </c>
      <c r="C29" s="506" t="s">
        <v>674</v>
      </c>
      <c r="D29" s="285" t="s">
        <v>14</v>
      </c>
      <c r="E29" s="285">
        <v>287.5</v>
      </c>
      <c r="F29" s="290">
        <v>10.35</v>
      </c>
      <c r="G29" s="290">
        <f t="shared" si="4"/>
        <v>13.33</v>
      </c>
      <c r="H29" s="319">
        <f t="shared" si="5"/>
        <v>3832.38</v>
      </c>
      <c r="I29" s="264"/>
      <c r="J29" s="2"/>
    </row>
    <row r="30" spans="1:27" s="13" customFormat="1">
      <c r="A30" s="460" t="s">
        <v>679</v>
      </c>
      <c r="B30" s="507">
        <v>92793</v>
      </c>
      <c r="C30" s="459" t="s">
        <v>675</v>
      </c>
      <c r="D30" s="285" t="s">
        <v>14</v>
      </c>
      <c r="E30" s="285">
        <v>376.6</v>
      </c>
      <c r="F30" s="290">
        <v>10.66</v>
      </c>
      <c r="G30" s="290">
        <f t="shared" si="4"/>
        <v>13.73</v>
      </c>
      <c r="H30" s="319">
        <f t="shared" si="5"/>
        <v>5170.72</v>
      </c>
      <c r="I30" s="264"/>
      <c r="J30" s="2"/>
    </row>
    <row r="31" spans="1:27" s="13" customFormat="1">
      <c r="A31" s="460" t="s">
        <v>680</v>
      </c>
      <c r="B31" s="507">
        <v>92794</v>
      </c>
      <c r="C31" s="459" t="s">
        <v>676</v>
      </c>
      <c r="D31" s="285" t="s">
        <v>14</v>
      </c>
      <c r="E31" s="285">
        <v>231.8</v>
      </c>
      <c r="F31" s="290">
        <v>9.86</v>
      </c>
      <c r="G31" s="290">
        <f t="shared" si="4"/>
        <v>12.7</v>
      </c>
      <c r="H31" s="319">
        <f t="shared" si="5"/>
        <v>2943.86</v>
      </c>
      <c r="I31" s="264"/>
      <c r="J31" s="2"/>
    </row>
    <row r="32" spans="1:27" s="13" customFormat="1" ht="30">
      <c r="A32" s="460" t="s">
        <v>681</v>
      </c>
      <c r="B32" s="508" t="s">
        <v>533</v>
      </c>
      <c r="C32" s="505" t="s">
        <v>534</v>
      </c>
      <c r="D32" s="285" t="s">
        <v>11</v>
      </c>
      <c r="E32" s="285">
        <v>206.52</v>
      </c>
      <c r="F32" s="290">
        <v>63.99</v>
      </c>
      <c r="G32" s="290">
        <f t="shared" si="4"/>
        <v>82.43</v>
      </c>
      <c r="H32" s="319">
        <f t="shared" si="5"/>
        <v>17023.439999999999</v>
      </c>
      <c r="I32" s="264"/>
      <c r="J32" s="2"/>
    </row>
    <row r="33" spans="1:10" s="13" customFormat="1" ht="30">
      <c r="A33" s="460" t="s">
        <v>682</v>
      </c>
      <c r="B33" s="509" t="s">
        <v>855</v>
      </c>
      <c r="C33" s="506" t="s">
        <v>856</v>
      </c>
      <c r="D33" s="285" t="s">
        <v>8</v>
      </c>
      <c r="E33" s="285">
        <v>13.91</v>
      </c>
      <c r="F33" s="290">
        <v>723.67</v>
      </c>
      <c r="G33" s="290">
        <f t="shared" si="4"/>
        <v>932.23</v>
      </c>
      <c r="H33" s="319">
        <f t="shared" si="5"/>
        <v>12967.32</v>
      </c>
      <c r="I33" s="264"/>
      <c r="J33" s="2"/>
    </row>
    <row r="34" spans="1:10" s="13" customFormat="1" ht="30">
      <c r="A34" s="460" t="s">
        <v>683</v>
      </c>
      <c r="B34" s="21">
        <v>93382</v>
      </c>
      <c r="C34" s="505" t="s">
        <v>15</v>
      </c>
      <c r="D34" s="285" t="s">
        <v>8</v>
      </c>
      <c r="E34" s="285">
        <v>14.52</v>
      </c>
      <c r="F34" s="290">
        <v>23.55</v>
      </c>
      <c r="G34" s="290">
        <f t="shared" si="4"/>
        <v>30.34</v>
      </c>
      <c r="H34" s="319">
        <f t="shared" si="5"/>
        <v>440.54</v>
      </c>
      <c r="I34" s="264"/>
      <c r="J34" s="2"/>
    </row>
    <row r="35" spans="1:10" s="13" customFormat="1">
      <c r="A35" s="460" t="s">
        <v>684</v>
      </c>
      <c r="B35" s="21">
        <v>98557</v>
      </c>
      <c r="C35" s="458" t="s">
        <v>596</v>
      </c>
      <c r="D35" s="285" t="s">
        <v>11</v>
      </c>
      <c r="E35" s="285">
        <v>71.31</v>
      </c>
      <c r="F35" s="290">
        <v>31.19</v>
      </c>
      <c r="G35" s="290">
        <f>F35*$J$1</f>
        <v>40.18</v>
      </c>
      <c r="H35" s="319">
        <f t="shared" si="5"/>
        <v>2865.24</v>
      </c>
      <c r="I35" s="264"/>
      <c r="J35" s="2"/>
    </row>
    <row r="36" spans="1:10" s="13" customFormat="1">
      <c r="A36" s="544" t="s">
        <v>486</v>
      </c>
      <c r="B36" s="544"/>
      <c r="C36" s="544"/>
      <c r="D36" s="544"/>
      <c r="E36" s="544"/>
      <c r="F36" s="544"/>
      <c r="G36" s="544"/>
      <c r="H36" s="274">
        <f>SUM(H26:H35)</f>
        <v>47267.64</v>
      </c>
      <c r="I36" s="264"/>
      <c r="J36" s="2"/>
    </row>
    <row r="37" spans="1:10">
      <c r="A37" s="497">
        <v>3</v>
      </c>
      <c r="B37" s="495" t="s">
        <v>839</v>
      </c>
      <c r="C37" s="495"/>
      <c r="D37" s="496"/>
      <c r="E37" s="445"/>
      <c r="F37" s="482"/>
      <c r="G37" s="280"/>
      <c r="H37" s="445"/>
      <c r="I37" s="261"/>
    </row>
    <row r="38" spans="1:10" s="13" customFormat="1" ht="45">
      <c r="A38" s="460" t="s">
        <v>487</v>
      </c>
      <c r="B38" s="21">
        <v>101161</v>
      </c>
      <c r="C38" s="220" t="s">
        <v>576</v>
      </c>
      <c r="D38" s="217" t="s">
        <v>11</v>
      </c>
      <c r="E38" s="287">
        <f>((6.5+5.5)*0.5)+(1*0.5*2)</f>
        <v>7</v>
      </c>
      <c r="F38" s="510">
        <v>166.52</v>
      </c>
      <c r="G38" s="328">
        <f>F38*$J$1</f>
        <v>214.51</v>
      </c>
      <c r="H38" s="329">
        <f>E38*G38</f>
        <v>1501.57</v>
      </c>
      <c r="I38" s="266"/>
      <c r="J38" s="2"/>
    </row>
    <row r="39" spans="1:10" s="13" customFormat="1" ht="45">
      <c r="A39" s="460" t="s">
        <v>525</v>
      </c>
      <c r="B39" s="511">
        <v>87519</v>
      </c>
      <c r="C39" s="220" t="s">
        <v>536</v>
      </c>
      <c r="D39" s="512" t="s">
        <v>11</v>
      </c>
      <c r="E39" s="272">
        <f>(25.86*2)+(18.32*3.1*2)+((4.3+1.65+5.52+6.5)*3.1)</f>
        <v>221.01</v>
      </c>
      <c r="F39" s="510">
        <v>71.44</v>
      </c>
      <c r="G39" s="328">
        <f>F39*$J$1</f>
        <v>92.03</v>
      </c>
      <c r="H39" s="329">
        <f>E39*G39</f>
        <v>20339.55</v>
      </c>
      <c r="I39" s="266"/>
      <c r="J39" s="2"/>
    </row>
    <row r="40" spans="1:10" s="10" customFormat="1">
      <c r="A40" s="544" t="s">
        <v>499</v>
      </c>
      <c r="B40" s="544"/>
      <c r="C40" s="544"/>
      <c r="D40" s="544"/>
      <c r="E40" s="544"/>
      <c r="F40" s="544"/>
      <c r="G40" s="544"/>
      <c r="H40" s="274">
        <f>SUM(H38:H39)</f>
        <v>21841.119999999999</v>
      </c>
      <c r="I40" s="264">
        <f>H40</f>
        <v>21841.119999999999</v>
      </c>
      <c r="J40" s="8"/>
    </row>
    <row r="41" spans="1:10" s="10" customFormat="1">
      <c r="A41" s="497">
        <v>4</v>
      </c>
      <c r="B41" s="495" t="s">
        <v>840</v>
      </c>
      <c r="C41" s="495"/>
      <c r="D41" s="496"/>
      <c r="E41" s="445"/>
      <c r="F41" s="482"/>
      <c r="G41" s="280"/>
      <c r="H41" s="445"/>
      <c r="I41" s="261"/>
      <c r="J41" s="8"/>
    </row>
    <row r="42" spans="1:10" s="10" customFormat="1" ht="30">
      <c r="A42" s="460" t="s">
        <v>16</v>
      </c>
      <c r="B42" s="511">
        <v>94207</v>
      </c>
      <c r="C42" s="220" t="s">
        <v>597</v>
      </c>
      <c r="D42" s="217" t="s">
        <v>11</v>
      </c>
      <c r="E42" s="287">
        <f>89.4*1.02*2</f>
        <v>182.38</v>
      </c>
      <c r="F42" s="513">
        <v>58.05</v>
      </c>
      <c r="G42" s="328">
        <f t="shared" ref="G42:G43" si="6">F42*$J$1</f>
        <v>74.78</v>
      </c>
      <c r="H42" s="329">
        <f t="shared" ref="H42:H43" si="7">E42*G42</f>
        <v>13638.38</v>
      </c>
      <c r="I42" s="404" t="s">
        <v>630</v>
      </c>
      <c r="J42" s="8"/>
    </row>
    <row r="43" spans="1:10" s="10" customFormat="1" ht="30">
      <c r="A43" s="460" t="s">
        <v>20</v>
      </c>
      <c r="B43" s="511">
        <v>94223</v>
      </c>
      <c r="C43" s="220" t="s">
        <v>526</v>
      </c>
      <c r="D43" s="217" t="s">
        <v>17</v>
      </c>
      <c r="E43" s="514">
        <v>20.399999999999999</v>
      </c>
      <c r="F43" s="513">
        <v>73.849999999999994</v>
      </c>
      <c r="G43" s="328">
        <f t="shared" si="6"/>
        <v>95.13</v>
      </c>
      <c r="H43" s="329">
        <f t="shared" si="7"/>
        <v>1940.65</v>
      </c>
      <c r="I43" s="404"/>
      <c r="J43" s="8"/>
    </row>
    <row r="44" spans="1:10" s="10" customFormat="1" ht="30">
      <c r="A44" s="460" t="s">
        <v>21</v>
      </c>
      <c r="B44" s="511">
        <v>92559</v>
      </c>
      <c r="C44" s="220" t="s">
        <v>734</v>
      </c>
      <c r="D44" s="217" t="s">
        <v>577</v>
      </c>
      <c r="E44" s="514">
        <v>5</v>
      </c>
      <c r="F44" s="513">
        <v>1411.06</v>
      </c>
      <c r="G44" s="328">
        <f t="shared" ref="G44" si="8">F44*$J$1</f>
        <v>1817.73</v>
      </c>
      <c r="H44" s="329">
        <f t="shared" ref="H44" si="9">E44*G44</f>
        <v>9088.65</v>
      </c>
      <c r="I44" s="404"/>
      <c r="J44" s="8"/>
    </row>
    <row r="45" spans="1:10" s="10" customFormat="1" ht="30">
      <c r="A45" s="460" t="s">
        <v>420</v>
      </c>
      <c r="B45" s="511">
        <v>92543</v>
      </c>
      <c r="C45" s="220" t="s">
        <v>735</v>
      </c>
      <c r="D45" s="515" t="s">
        <v>11</v>
      </c>
      <c r="E45" s="514">
        <f>E42</f>
        <v>182.38</v>
      </c>
      <c r="F45" s="513">
        <v>18.27</v>
      </c>
      <c r="G45" s="328">
        <f t="shared" ref="G45" si="10">F45*$J$1</f>
        <v>23.54</v>
      </c>
      <c r="H45" s="329">
        <f t="shared" ref="H45" si="11">E45*G45</f>
        <v>4293.2299999999996</v>
      </c>
      <c r="I45" s="404"/>
      <c r="J45" s="8"/>
    </row>
    <row r="46" spans="1:10" s="10" customFormat="1">
      <c r="A46" s="544" t="s">
        <v>290</v>
      </c>
      <c r="B46" s="544"/>
      <c r="C46" s="544"/>
      <c r="D46" s="544"/>
      <c r="E46" s="544"/>
      <c r="F46" s="544"/>
      <c r="G46" s="544"/>
      <c r="H46" s="274">
        <f>SUM(H42:H45)</f>
        <v>28960.91</v>
      </c>
      <c r="I46" s="264">
        <f>H46</f>
        <v>28960.91</v>
      </c>
      <c r="J46" s="8"/>
    </row>
    <row r="47" spans="1:10" s="13" customFormat="1">
      <c r="A47" s="497">
        <v>5</v>
      </c>
      <c r="B47" s="495" t="s">
        <v>841</v>
      </c>
      <c r="C47" s="495"/>
      <c r="D47" s="496"/>
      <c r="E47" s="445"/>
      <c r="F47" s="482"/>
      <c r="G47" s="280"/>
      <c r="H47" s="445"/>
      <c r="I47" s="261"/>
      <c r="J47" s="2"/>
    </row>
    <row r="48" spans="1:10" s="13" customFormat="1" ht="30">
      <c r="A48" s="21" t="s">
        <v>686</v>
      </c>
      <c r="B48" s="21">
        <v>91924</v>
      </c>
      <c r="C48" s="516" t="s">
        <v>634</v>
      </c>
      <c r="D48" s="517" t="s">
        <v>17</v>
      </c>
      <c r="E48" s="271">
        <v>60</v>
      </c>
      <c r="F48" s="513">
        <v>2.69</v>
      </c>
      <c r="G48" s="328">
        <f t="shared" ref="G48" si="12">F48*$J$1</f>
        <v>3.47</v>
      </c>
      <c r="H48" s="329">
        <f t="shared" ref="H48" si="13">E48*G48</f>
        <v>208.2</v>
      </c>
      <c r="I48" s="261"/>
      <c r="J48" s="2"/>
    </row>
    <row r="49" spans="1:10" s="13" customFormat="1" ht="30">
      <c r="A49" s="21" t="s">
        <v>687</v>
      </c>
      <c r="B49" s="21">
        <v>91924</v>
      </c>
      <c r="C49" s="516" t="s">
        <v>637</v>
      </c>
      <c r="D49" s="517" t="s">
        <v>17</v>
      </c>
      <c r="E49" s="271">
        <v>62</v>
      </c>
      <c r="F49" s="513">
        <v>2.69</v>
      </c>
      <c r="G49" s="328">
        <f t="shared" ref="G49:G51" si="14">F49*$J$1</f>
        <v>3.47</v>
      </c>
      <c r="H49" s="329">
        <f t="shared" ref="H49:H51" si="15">E49*G49</f>
        <v>215.14</v>
      </c>
      <c r="I49" s="261"/>
      <c r="J49" s="2"/>
    </row>
    <row r="50" spans="1:10" s="13" customFormat="1" ht="30">
      <c r="A50" s="21" t="s">
        <v>688</v>
      </c>
      <c r="B50" s="21">
        <v>91924</v>
      </c>
      <c r="C50" s="516" t="s">
        <v>636</v>
      </c>
      <c r="D50" s="517" t="s">
        <v>17</v>
      </c>
      <c r="E50" s="271">
        <v>40</v>
      </c>
      <c r="F50" s="513">
        <v>2.69</v>
      </c>
      <c r="G50" s="328">
        <f t="shared" si="14"/>
        <v>3.47</v>
      </c>
      <c r="H50" s="329">
        <f t="shared" si="15"/>
        <v>138.80000000000001</v>
      </c>
      <c r="I50" s="261"/>
      <c r="J50" s="2"/>
    </row>
    <row r="51" spans="1:10" s="13" customFormat="1" ht="30">
      <c r="A51" s="21" t="s">
        <v>689</v>
      </c>
      <c r="B51" s="21">
        <v>91924</v>
      </c>
      <c r="C51" s="516" t="s">
        <v>635</v>
      </c>
      <c r="D51" s="517" t="s">
        <v>17</v>
      </c>
      <c r="E51" s="271">
        <v>12.3</v>
      </c>
      <c r="F51" s="513">
        <v>2.69</v>
      </c>
      <c r="G51" s="328">
        <f t="shared" si="14"/>
        <v>3.47</v>
      </c>
      <c r="H51" s="329">
        <f t="shared" si="15"/>
        <v>42.68</v>
      </c>
      <c r="I51" s="261"/>
      <c r="J51" s="2"/>
    </row>
    <row r="52" spans="1:10" s="307" customFormat="1" ht="30">
      <c r="A52" s="21" t="s">
        <v>690</v>
      </c>
      <c r="B52" s="275" t="s">
        <v>425</v>
      </c>
      <c r="C52" s="518" t="s">
        <v>326</v>
      </c>
      <c r="D52" s="517" t="s">
        <v>17</v>
      </c>
      <c r="E52" s="519">
        <v>75</v>
      </c>
      <c r="F52" s="520">
        <v>4.01</v>
      </c>
      <c r="G52" s="326">
        <f t="shared" ref="G52:G61" si="16">F52*$J$1</f>
        <v>5.17</v>
      </c>
      <c r="H52" s="329">
        <f t="shared" ref="H52:H76" si="17">E52*G52</f>
        <v>387.75</v>
      </c>
      <c r="I52" s="305"/>
      <c r="J52" s="306"/>
    </row>
    <row r="53" spans="1:10" s="307" customFormat="1" ht="30">
      <c r="A53" s="21" t="s">
        <v>691</v>
      </c>
      <c r="B53" s="275" t="s">
        <v>425</v>
      </c>
      <c r="C53" s="518" t="s">
        <v>327</v>
      </c>
      <c r="D53" s="517" t="s">
        <v>17</v>
      </c>
      <c r="E53" s="519">
        <v>140</v>
      </c>
      <c r="F53" s="520">
        <f>F52</f>
        <v>4.01</v>
      </c>
      <c r="G53" s="326">
        <f t="shared" si="16"/>
        <v>5.17</v>
      </c>
      <c r="H53" s="329">
        <f t="shared" si="17"/>
        <v>723.8</v>
      </c>
      <c r="I53" s="305"/>
      <c r="J53" s="306"/>
    </row>
    <row r="54" spans="1:10" s="307" customFormat="1" ht="30">
      <c r="A54" s="21" t="s">
        <v>692</v>
      </c>
      <c r="B54" s="275" t="s">
        <v>425</v>
      </c>
      <c r="C54" s="518" t="s">
        <v>328</v>
      </c>
      <c r="D54" s="517" t="s">
        <v>17</v>
      </c>
      <c r="E54" s="519">
        <v>70</v>
      </c>
      <c r="F54" s="520">
        <f>F52</f>
        <v>4.01</v>
      </c>
      <c r="G54" s="326">
        <f t="shared" si="16"/>
        <v>5.17</v>
      </c>
      <c r="H54" s="329">
        <f t="shared" si="17"/>
        <v>361.9</v>
      </c>
      <c r="I54" s="305"/>
      <c r="J54" s="306"/>
    </row>
    <row r="55" spans="1:10" s="307" customFormat="1" ht="30">
      <c r="A55" s="21" t="s">
        <v>693</v>
      </c>
      <c r="B55" s="512">
        <v>92986</v>
      </c>
      <c r="C55" s="521" t="s">
        <v>639</v>
      </c>
      <c r="D55" s="522" t="s">
        <v>17</v>
      </c>
      <c r="E55" s="276">
        <v>24.6</v>
      </c>
      <c r="F55" s="481">
        <v>40.65</v>
      </c>
      <c r="G55" s="328">
        <f t="shared" si="16"/>
        <v>52.37</v>
      </c>
      <c r="H55" s="329">
        <f t="shared" si="17"/>
        <v>1288.3</v>
      </c>
      <c r="I55" s="305"/>
      <c r="J55" s="308"/>
    </row>
    <row r="56" spans="1:10" s="307" customFormat="1" ht="30">
      <c r="A56" s="21" t="s">
        <v>694</v>
      </c>
      <c r="B56" s="512">
        <v>92990</v>
      </c>
      <c r="C56" s="521" t="s">
        <v>640</v>
      </c>
      <c r="D56" s="522" t="s">
        <v>17</v>
      </c>
      <c r="E56" s="276">
        <v>24.6</v>
      </c>
      <c r="F56" s="481">
        <v>78.92</v>
      </c>
      <c r="G56" s="328">
        <f t="shared" si="16"/>
        <v>101.66</v>
      </c>
      <c r="H56" s="329">
        <f t="shared" si="17"/>
        <v>2500.84</v>
      </c>
      <c r="I56" s="305"/>
      <c r="J56" s="308"/>
    </row>
    <row r="57" spans="1:10" s="307" customFormat="1" ht="30">
      <c r="A57" s="21" t="s">
        <v>695</v>
      </c>
      <c r="B57" s="512">
        <v>92990</v>
      </c>
      <c r="C57" s="521" t="s">
        <v>638</v>
      </c>
      <c r="D57" s="522" t="s">
        <v>17</v>
      </c>
      <c r="E57" s="276">
        <v>73.7</v>
      </c>
      <c r="F57" s="481">
        <v>78.92</v>
      </c>
      <c r="G57" s="328">
        <f t="shared" si="16"/>
        <v>101.66</v>
      </c>
      <c r="H57" s="329">
        <f t="shared" si="17"/>
        <v>7492.34</v>
      </c>
      <c r="I57" s="305"/>
      <c r="J57" s="308"/>
    </row>
    <row r="58" spans="1:10" s="307" customFormat="1" ht="30">
      <c r="A58" s="21" t="s">
        <v>696</v>
      </c>
      <c r="B58" s="507">
        <v>91935</v>
      </c>
      <c r="C58" s="523" t="s">
        <v>421</v>
      </c>
      <c r="D58" s="522" t="s">
        <v>17</v>
      </c>
      <c r="E58" s="524">
        <v>5.5</v>
      </c>
      <c r="F58" s="525">
        <v>25.24</v>
      </c>
      <c r="G58" s="326">
        <f t="shared" si="16"/>
        <v>32.51</v>
      </c>
      <c r="H58" s="329">
        <f t="shared" si="17"/>
        <v>178.81</v>
      </c>
      <c r="I58" s="305"/>
      <c r="J58" s="308"/>
    </row>
    <row r="59" spans="1:10" s="307" customFormat="1" ht="30">
      <c r="A59" s="21" t="s">
        <v>697</v>
      </c>
      <c r="B59" s="507">
        <v>91935</v>
      </c>
      <c r="C59" s="523" t="s">
        <v>422</v>
      </c>
      <c r="D59" s="522" t="s">
        <v>17</v>
      </c>
      <c r="E59" s="524">
        <v>16.3</v>
      </c>
      <c r="F59" s="525">
        <v>25.24</v>
      </c>
      <c r="G59" s="326">
        <f t="shared" si="16"/>
        <v>32.51</v>
      </c>
      <c r="H59" s="329">
        <f t="shared" si="17"/>
        <v>529.91</v>
      </c>
      <c r="I59" s="305"/>
      <c r="J59" s="308"/>
    </row>
    <row r="60" spans="1:10" s="307" customFormat="1" ht="30">
      <c r="A60" s="21" t="s">
        <v>698</v>
      </c>
      <c r="B60" s="507">
        <v>91935</v>
      </c>
      <c r="C60" s="523" t="s">
        <v>641</v>
      </c>
      <c r="D60" s="522" t="s">
        <v>17</v>
      </c>
      <c r="E60" s="524">
        <v>5.5</v>
      </c>
      <c r="F60" s="525">
        <v>25.24</v>
      </c>
      <c r="G60" s="326">
        <f t="shared" ref="G60" si="18">F60*$J$1</f>
        <v>32.51</v>
      </c>
      <c r="H60" s="329">
        <f t="shared" ref="H60" si="19">E60*G60</f>
        <v>178.81</v>
      </c>
      <c r="I60" s="305"/>
      <c r="J60" s="308"/>
    </row>
    <row r="61" spans="1:10" s="307" customFormat="1">
      <c r="A61" s="21" t="s">
        <v>699</v>
      </c>
      <c r="B61" s="511">
        <v>91953</v>
      </c>
      <c r="C61" s="518" t="s">
        <v>571</v>
      </c>
      <c r="D61" s="286" t="s">
        <v>18</v>
      </c>
      <c r="E61" s="271">
        <v>5</v>
      </c>
      <c r="F61" s="452">
        <v>21.07</v>
      </c>
      <c r="G61" s="326">
        <f t="shared" si="16"/>
        <v>27.14</v>
      </c>
      <c r="H61" s="329">
        <f t="shared" si="17"/>
        <v>135.69999999999999</v>
      </c>
      <c r="I61" s="309"/>
      <c r="J61" s="308"/>
    </row>
    <row r="62" spans="1:10" s="307" customFormat="1" ht="18.75" customHeight="1">
      <c r="A62" s="21" t="s">
        <v>700</v>
      </c>
      <c r="B62" s="21">
        <v>91996</v>
      </c>
      <c r="C62" s="516" t="s">
        <v>644</v>
      </c>
      <c r="D62" s="21" t="s">
        <v>18</v>
      </c>
      <c r="E62" s="271">
        <v>7</v>
      </c>
      <c r="F62" s="452">
        <v>24.82</v>
      </c>
      <c r="G62" s="328">
        <f t="shared" ref="G62" si="20">F62*$J$1</f>
        <v>31.97</v>
      </c>
      <c r="H62" s="329">
        <f t="shared" ref="H62" si="21">E62*G62</f>
        <v>223.79</v>
      </c>
      <c r="I62" s="309"/>
      <c r="J62" s="308"/>
    </row>
    <row r="63" spans="1:10" s="307" customFormat="1" ht="17.25" customHeight="1">
      <c r="A63" s="21" t="s">
        <v>701</v>
      </c>
      <c r="B63" s="21">
        <v>91997</v>
      </c>
      <c r="C63" s="518" t="s">
        <v>579</v>
      </c>
      <c r="D63" s="21" t="s">
        <v>18</v>
      </c>
      <c r="E63" s="271">
        <v>3</v>
      </c>
      <c r="F63" s="452">
        <v>26.96</v>
      </c>
      <c r="G63" s="326">
        <f t="shared" ref="G63:G65" si="22">F63*$J$1</f>
        <v>34.729999999999997</v>
      </c>
      <c r="H63" s="329">
        <f t="shared" si="17"/>
        <v>104.19</v>
      </c>
      <c r="I63" s="309" t="s">
        <v>578</v>
      </c>
      <c r="J63" s="308"/>
    </row>
    <row r="64" spans="1:10" s="307" customFormat="1" ht="41.25" customHeight="1">
      <c r="A64" s="21" t="s">
        <v>702</v>
      </c>
      <c r="B64" s="21">
        <v>91940</v>
      </c>
      <c r="C64" s="526" t="s">
        <v>633</v>
      </c>
      <c r="D64" s="21" t="s">
        <v>18</v>
      </c>
      <c r="E64" s="271">
        <v>15</v>
      </c>
      <c r="F64" s="452">
        <v>11.24</v>
      </c>
      <c r="G64" s="328">
        <f t="shared" si="22"/>
        <v>14.48</v>
      </c>
      <c r="H64" s="329">
        <f t="shared" si="17"/>
        <v>217.2</v>
      </c>
      <c r="I64" s="309"/>
      <c r="J64" s="308"/>
    </row>
    <row r="65" spans="1:10" s="307" customFormat="1">
      <c r="A65" s="21" t="s">
        <v>703</v>
      </c>
      <c r="B65" s="511">
        <v>91836</v>
      </c>
      <c r="C65" s="527" t="s">
        <v>56</v>
      </c>
      <c r="D65" s="528" t="s">
        <v>17</v>
      </c>
      <c r="E65" s="271">
        <v>4</v>
      </c>
      <c r="F65" s="452">
        <v>8.69</v>
      </c>
      <c r="G65" s="326">
        <f t="shared" si="22"/>
        <v>11.19</v>
      </c>
      <c r="H65" s="329">
        <f t="shared" si="17"/>
        <v>44.76</v>
      </c>
      <c r="I65" s="309"/>
      <c r="J65" s="308"/>
    </row>
    <row r="66" spans="1:10" s="307" customFormat="1">
      <c r="A66" s="21" t="s">
        <v>704</v>
      </c>
      <c r="B66" s="511">
        <v>91854</v>
      </c>
      <c r="C66" s="458" t="s">
        <v>736</v>
      </c>
      <c r="D66" s="528" t="s">
        <v>17</v>
      </c>
      <c r="E66" s="271">
        <v>140</v>
      </c>
      <c r="F66" s="452">
        <v>6.8</v>
      </c>
      <c r="G66" s="326">
        <f t="shared" ref="G66" si="23">F66*$J$1</f>
        <v>8.76</v>
      </c>
      <c r="H66" s="329">
        <f t="shared" ref="H66" si="24">E66*G66</f>
        <v>1226.4000000000001</v>
      </c>
      <c r="I66" s="309"/>
      <c r="J66" s="308"/>
    </row>
    <row r="67" spans="1:10" s="307" customFormat="1" ht="30">
      <c r="A67" s="21" t="s">
        <v>705</v>
      </c>
      <c r="B67" s="275" t="s">
        <v>494</v>
      </c>
      <c r="C67" s="529" t="s">
        <v>650</v>
      </c>
      <c r="D67" s="21" t="s">
        <v>18</v>
      </c>
      <c r="E67" s="271">
        <v>4</v>
      </c>
      <c r="F67" s="452">
        <v>9.59</v>
      </c>
      <c r="G67" s="328">
        <f>F67*$J$1</f>
        <v>12.35</v>
      </c>
      <c r="H67" s="329">
        <f t="shared" si="17"/>
        <v>49.4</v>
      </c>
      <c r="I67" s="305"/>
      <c r="J67" s="308"/>
    </row>
    <row r="68" spans="1:10" s="307" customFormat="1" ht="30">
      <c r="A68" s="21" t="s">
        <v>706</v>
      </c>
      <c r="B68" s="275" t="s">
        <v>493</v>
      </c>
      <c r="C68" s="220" t="s">
        <v>651</v>
      </c>
      <c r="D68" s="21" t="s">
        <v>18</v>
      </c>
      <c r="E68" s="276">
        <v>1</v>
      </c>
      <c r="F68" s="481">
        <v>48.44</v>
      </c>
      <c r="G68" s="328">
        <f>F68*$J$1</f>
        <v>62.4</v>
      </c>
      <c r="H68" s="329">
        <f t="shared" si="17"/>
        <v>62.4</v>
      </c>
      <c r="I68" s="305"/>
      <c r="J68" s="308"/>
    </row>
    <row r="69" spans="1:10" s="307" customFormat="1" ht="30">
      <c r="A69" s="21" t="s">
        <v>707</v>
      </c>
      <c r="B69" s="275" t="s">
        <v>652</v>
      </c>
      <c r="C69" s="529" t="s">
        <v>653</v>
      </c>
      <c r="D69" s="21" t="s">
        <v>18</v>
      </c>
      <c r="E69" s="276">
        <v>1</v>
      </c>
      <c r="F69" s="481">
        <v>49.29</v>
      </c>
      <c r="G69" s="328">
        <f>F69*$J$1</f>
        <v>63.5</v>
      </c>
      <c r="H69" s="329">
        <f t="shared" si="17"/>
        <v>63.5</v>
      </c>
      <c r="I69" s="305"/>
      <c r="J69" s="308"/>
    </row>
    <row r="70" spans="1:10" s="310" customFormat="1" ht="30">
      <c r="A70" s="21" t="s">
        <v>708</v>
      </c>
      <c r="B70" s="508" t="s">
        <v>642</v>
      </c>
      <c r="C70" s="220" t="s">
        <v>643</v>
      </c>
      <c r="D70" s="21" t="s">
        <v>18</v>
      </c>
      <c r="E70" s="530">
        <f>2+2</f>
        <v>4</v>
      </c>
      <c r="F70" s="481">
        <v>351.65</v>
      </c>
      <c r="G70" s="328">
        <f t="shared" ref="G70:G73" si="25">F70*$J$1</f>
        <v>453</v>
      </c>
      <c r="H70" s="329">
        <f t="shared" si="17"/>
        <v>1812</v>
      </c>
      <c r="I70" s="323"/>
      <c r="J70" s="311"/>
    </row>
    <row r="71" spans="1:10" s="307" customFormat="1">
      <c r="A71" s="21" t="s">
        <v>709</v>
      </c>
      <c r="B71" s="275" t="s">
        <v>88</v>
      </c>
      <c r="C71" s="220" t="s">
        <v>655</v>
      </c>
      <c r="D71" s="21" t="s">
        <v>18</v>
      </c>
      <c r="E71" s="276">
        <v>3</v>
      </c>
      <c r="F71" s="481">
        <f>Composição!F49</f>
        <v>81.58</v>
      </c>
      <c r="G71" s="328">
        <f t="shared" si="25"/>
        <v>105.09</v>
      </c>
      <c r="H71" s="329">
        <f t="shared" si="17"/>
        <v>315.27</v>
      </c>
      <c r="I71" s="305"/>
      <c r="J71" s="308"/>
    </row>
    <row r="72" spans="1:10" s="307" customFormat="1" ht="45">
      <c r="A72" s="21" t="s">
        <v>710</v>
      </c>
      <c r="B72" s="275" t="s">
        <v>527</v>
      </c>
      <c r="C72" s="521" t="s">
        <v>645</v>
      </c>
      <c r="D72" s="21" t="s">
        <v>18</v>
      </c>
      <c r="E72" s="276">
        <v>2</v>
      </c>
      <c r="F72" s="481">
        <v>510.72</v>
      </c>
      <c r="G72" s="328">
        <f t="shared" si="25"/>
        <v>657.91</v>
      </c>
      <c r="H72" s="329">
        <f t="shared" si="17"/>
        <v>1315.82</v>
      </c>
      <c r="I72" s="305"/>
      <c r="J72" s="308"/>
    </row>
    <row r="73" spans="1:10" s="312" customFormat="1" ht="43.5" customHeight="1">
      <c r="A73" s="21" t="s">
        <v>711</v>
      </c>
      <c r="B73" s="275" t="s">
        <v>580</v>
      </c>
      <c r="C73" s="410" t="s">
        <v>581</v>
      </c>
      <c r="D73" s="21" t="s">
        <v>18</v>
      </c>
      <c r="E73" s="276">
        <v>1</v>
      </c>
      <c r="F73" s="453">
        <v>34882.11</v>
      </c>
      <c r="G73" s="290">
        <f t="shared" si="25"/>
        <v>44935.13</v>
      </c>
      <c r="H73" s="329">
        <f t="shared" si="17"/>
        <v>44935.13</v>
      </c>
    </row>
    <row r="74" spans="1:10" s="312" customFormat="1" ht="43.5" customHeight="1">
      <c r="A74" s="21" t="s">
        <v>712</v>
      </c>
      <c r="B74" s="275" t="s">
        <v>88</v>
      </c>
      <c r="C74" s="410" t="s">
        <v>656</v>
      </c>
      <c r="D74" s="21" t="s">
        <v>18</v>
      </c>
      <c r="E74" s="276">
        <v>24</v>
      </c>
      <c r="F74" s="453">
        <f>Composição!F62</f>
        <v>64.400000000000006</v>
      </c>
      <c r="G74" s="290">
        <f t="shared" ref="G74" si="26">F74*$J$1</f>
        <v>82.96</v>
      </c>
      <c r="H74" s="329">
        <f t="shared" ref="H74" si="27">E74*G74</f>
        <v>1991.04</v>
      </c>
    </row>
    <row r="75" spans="1:10" s="312" customFormat="1" ht="37.5" customHeight="1">
      <c r="A75" s="21" t="s">
        <v>713</v>
      </c>
      <c r="B75" s="275" t="s">
        <v>649</v>
      </c>
      <c r="C75" s="410" t="s">
        <v>647</v>
      </c>
      <c r="D75" s="21" t="s">
        <v>18</v>
      </c>
      <c r="E75" s="276">
        <v>1</v>
      </c>
      <c r="F75" s="453">
        <v>89.86</v>
      </c>
      <c r="G75" s="290">
        <f t="shared" ref="G75" si="28">F75*$J$1</f>
        <v>115.76</v>
      </c>
      <c r="H75" s="329">
        <f t="shared" ref="H75" si="29">E75*G75</f>
        <v>115.76</v>
      </c>
    </row>
    <row r="76" spans="1:10" s="312" customFormat="1" ht="37.5" customHeight="1">
      <c r="A76" s="21" t="s">
        <v>714</v>
      </c>
      <c r="B76" s="275" t="s">
        <v>648</v>
      </c>
      <c r="C76" s="410" t="s">
        <v>646</v>
      </c>
      <c r="D76" s="21" t="s">
        <v>18</v>
      </c>
      <c r="E76" s="276">
        <v>2</v>
      </c>
      <c r="F76" s="453">
        <v>334.04</v>
      </c>
      <c r="G76" s="290">
        <f t="shared" ref="G76" si="30">F76*$J$1</f>
        <v>430.31</v>
      </c>
      <c r="H76" s="329">
        <f t="shared" si="17"/>
        <v>860.62</v>
      </c>
    </row>
    <row r="77" spans="1:10" s="312" customFormat="1" ht="27.75" customHeight="1">
      <c r="A77" s="21" t="s">
        <v>715</v>
      </c>
      <c r="B77" s="469">
        <v>97669</v>
      </c>
      <c r="C77" s="458" t="s">
        <v>761</v>
      </c>
      <c r="D77" s="460" t="s">
        <v>17</v>
      </c>
      <c r="E77" s="271">
        <v>40</v>
      </c>
      <c r="F77" s="453">
        <v>17.11</v>
      </c>
      <c r="G77" s="290">
        <f t="shared" ref="G77:G78" si="31">F77*$J$1</f>
        <v>22.04</v>
      </c>
      <c r="H77" s="329">
        <f t="shared" ref="H77:H78" si="32">E77*G77</f>
        <v>881.6</v>
      </c>
    </row>
    <row r="78" spans="1:10" s="312" customFormat="1" ht="33.75" customHeight="1">
      <c r="A78" s="21" t="s">
        <v>716</v>
      </c>
      <c r="B78" s="476" t="s">
        <v>762</v>
      </c>
      <c r="C78" s="458" t="s">
        <v>763</v>
      </c>
      <c r="D78" s="21" t="s">
        <v>18</v>
      </c>
      <c r="E78" s="271">
        <v>4</v>
      </c>
      <c r="F78" s="453">
        <v>98.92</v>
      </c>
      <c r="G78" s="328">
        <f t="shared" si="31"/>
        <v>127.43</v>
      </c>
      <c r="H78" s="329">
        <f t="shared" si="32"/>
        <v>509.72</v>
      </c>
    </row>
    <row r="79" spans="1:10" s="312" customFormat="1" ht="37.5" customHeight="1">
      <c r="A79" s="21" t="s">
        <v>717</v>
      </c>
      <c r="B79" s="476" t="s">
        <v>88</v>
      </c>
      <c r="C79" s="458" t="s">
        <v>764</v>
      </c>
      <c r="D79" s="460" t="s">
        <v>17</v>
      </c>
      <c r="E79" s="271">
        <v>5500</v>
      </c>
      <c r="F79" s="453">
        <f>Composição!F75</f>
        <v>14.99</v>
      </c>
      <c r="G79" s="328">
        <f t="shared" ref="G79" si="33">F79*$J$1</f>
        <v>19.309999999999999</v>
      </c>
      <c r="H79" s="329">
        <f t="shared" ref="H79" si="34">E79*G79</f>
        <v>106205</v>
      </c>
      <c r="I79" s="312">
        <v>1158</v>
      </c>
      <c r="J79" s="480">
        <f>H79-I79</f>
        <v>105047</v>
      </c>
    </row>
    <row r="80" spans="1:10" s="312" customFormat="1" ht="37.5" customHeight="1">
      <c r="A80" s="21" t="s">
        <v>718</v>
      </c>
      <c r="B80" s="476" t="s">
        <v>88</v>
      </c>
      <c r="C80" s="458" t="s">
        <v>769</v>
      </c>
      <c r="D80" s="21" t="s">
        <v>18</v>
      </c>
      <c r="E80" s="271">
        <v>2</v>
      </c>
      <c r="F80" s="452">
        <f>Composição!F87</f>
        <v>7536.12</v>
      </c>
      <c r="G80" s="328">
        <f t="shared" ref="G80" si="35">F80*$J$1</f>
        <v>9708.0300000000007</v>
      </c>
      <c r="H80" s="329">
        <f t="shared" ref="H80" si="36">E80*G80</f>
        <v>19416.060000000001</v>
      </c>
    </row>
    <row r="81" spans="1:11" s="312" customFormat="1" ht="37.5" customHeight="1">
      <c r="A81" s="21" t="s">
        <v>719</v>
      </c>
      <c r="B81" s="469" t="s">
        <v>88</v>
      </c>
      <c r="C81" s="410" t="s">
        <v>800</v>
      </c>
      <c r="D81" s="286" t="s">
        <v>18</v>
      </c>
      <c r="E81" s="276">
        <v>2</v>
      </c>
      <c r="F81" s="453">
        <f>Composição!F101</f>
        <v>13865.58</v>
      </c>
      <c r="G81" s="328">
        <f>F81*$J$1</f>
        <v>17861.64</v>
      </c>
      <c r="H81" s="329">
        <f>E81*G81</f>
        <v>35723.279999999999</v>
      </c>
    </row>
    <row r="82" spans="1:11" s="11" customFormat="1">
      <c r="A82" s="544" t="s">
        <v>720</v>
      </c>
      <c r="B82" s="544"/>
      <c r="C82" s="544"/>
      <c r="D82" s="544"/>
      <c r="E82" s="544"/>
      <c r="F82" s="544"/>
      <c r="G82" s="544"/>
      <c r="H82" s="274">
        <f>SUM(H48:H81)</f>
        <v>230455.92</v>
      </c>
      <c r="I82" s="264">
        <f>H82</f>
        <v>230455.92</v>
      </c>
      <c r="J82" s="4"/>
    </row>
    <row r="83" spans="1:11" s="20" customFormat="1">
      <c r="A83" s="497">
        <v>6</v>
      </c>
      <c r="B83" s="495" t="s">
        <v>842</v>
      </c>
      <c r="C83" s="495"/>
      <c r="D83" s="496"/>
      <c r="E83" s="473"/>
      <c r="F83" s="482"/>
      <c r="G83" s="473"/>
      <c r="H83" s="283"/>
      <c r="I83" s="264"/>
      <c r="J83" s="4"/>
    </row>
    <row r="84" spans="1:11" s="20" customFormat="1" ht="30">
      <c r="A84" s="460" t="s">
        <v>24</v>
      </c>
      <c r="B84" s="511">
        <v>96985</v>
      </c>
      <c r="C84" s="526" t="s">
        <v>746</v>
      </c>
      <c r="D84" s="286" t="s">
        <v>18</v>
      </c>
      <c r="E84" s="271">
        <v>6</v>
      </c>
      <c r="F84" s="452">
        <v>86.12</v>
      </c>
      <c r="G84" s="328">
        <f t="shared" ref="G84:G91" si="37">F84*$J$1</f>
        <v>110.94</v>
      </c>
      <c r="H84" s="329">
        <f t="shared" ref="H84:H91" si="38">E84*G84</f>
        <v>665.64</v>
      </c>
      <c r="I84" s="264"/>
      <c r="J84" s="4"/>
    </row>
    <row r="85" spans="1:11" s="20" customFormat="1" ht="30">
      <c r="A85" s="460" t="s">
        <v>39</v>
      </c>
      <c r="B85" s="511">
        <v>96973</v>
      </c>
      <c r="C85" s="526" t="s">
        <v>748</v>
      </c>
      <c r="D85" s="460" t="s">
        <v>17</v>
      </c>
      <c r="E85" s="271">
        <v>15</v>
      </c>
      <c r="F85" s="452">
        <v>42.41</v>
      </c>
      <c r="G85" s="328">
        <f t="shared" si="37"/>
        <v>54.63</v>
      </c>
      <c r="H85" s="329">
        <f t="shared" si="38"/>
        <v>819.45</v>
      </c>
      <c r="I85" s="264"/>
      <c r="J85" s="4"/>
    </row>
    <row r="86" spans="1:11" s="20" customFormat="1" ht="30">
      <c r="A86" s="460" t="s">
        <v>50</v>
      </c>
      <c r="B86" s="511">
        <v>96977</v>
      </c>
      <c r="C86" s="526" t="s">
        <v>749</v>
      </c>
      <c r="D86" s="460" t="s">
        <v>17</v>
      </c>
      <c r="E86" s="271">
        <v>65</v>
      </c>
      <c r="F86" s="452">
        <v>33.82</v>
      </c>
      <c r="G86" s="328">
        <f t="shared" si="37"/>
        <v>43.57</v>
      </c>
      <c r="H86" s="329">
        <f t="shared" si="38"/>
        <v>2832.05</v>
      </c>
      <c r="I86" s="264"/>
      <c r="J86" s="4"/>
    </row>
    <row r="87" spans="1:11" s="20" customFormat="1">
      <c r="A87" s="460" t="s">
        <v>40</v>
      </c>
      <c r="B87" s="511">
        <v>96989</v>
      </c>
      <c r="C87" s="526" t="s">
        <v>747</v>
      </c>
      <c r="D87" s="21" t="s">
        <v>18</v>
      </c>
      <c r="E87" s="271">
        <v>1</v>
      </c>
      <c r="F87" s="452">
        <v>140.01</v>
      </c>
      <c r="G87" s="326">
        <f t="shared" si="37"/>
        <v>180.36</v>
      </c>
      <c r="H87" s="329">
        <f t="shared" si="38"/>
        <v>180.36</v>
      </c>
      <c r="I87" s="264"/>
      <c r="J87" s="4"/>
    </row>
    <row r="88" spans="1:11" s="20" customFormat="1">
      <c r="A88" s="460" t="s">
        <v>41</v>
      </c>
      <c r="B88" s="286">
        <v>96988</v>
      </c>
      <c r="C88" s="474" t="s">
        <v>750</v>
      </c>
      <c r="D88" s="21" t="s">
        <v>18</v>
      </c>
      <c r="E88" s="271">
        <v>1</v>
      </c>
      <c r="F88" s="452">
        <v>213.3</v>
      </c>
      <c r="G88" s="326">
        <f t="shared" si="37"/>
        <v>274.77</v>
      </c>
      <c r="H88" s="329">
        <f t="shared" si="38"/>
        <v>274.77</v>
      </c>
      <c r="I88" s="264"/>
      <c r="J88" s="4"/>
    </row>
    <row r="89" spans="1:11" s="20" customFormat="1" ht="30">
      <c r="A89" s="460" t="s">
        <v>54</v>
      </c>
      <c r="B89" s="286">
        <v>98111</v>
      </c>
      <c r="C89" s="458" t="s">
        <v>751</v>
      </c>
      <c r="D89" s="21" t="s">
        <v>18</v>
      </c>
      <c r="E89" s="271">
        <v>2</v>
      </c>
      <c r="F89" s="452">
        <v>21.01</v>
      </c>
      <c r="G89" s="328">
        <f t="shared" si="37"/>
        <v>27.07</v>
      </c>
      <c r="H89" s="329">
        <f t="shared" si="38"/>
        <v>54.14</v>
      </c>
      <c r="I89" s="264"/>
      <c r="J89" s="4"/>
    </row>
    <row r="90" spans="1:11" s="20" customFormat="1">
      <c r="A90" s="460" t="s">
        <v>803</v>
      </c>
      <c r="B90" s="460" t="s">
        <v>491</v>
      </c>
      <c r="C90" s="531" t="s">
        <v>492</v>
      </c>
      <c r="D90" s="21" t="s">
        <v>18</v>
      </c>
      <c r="E90" s="271">
        <v>6</v>
      </c>
      <c r="F90" s="452">
        <v>6.94</v>
      </c>
      <c r="G90" s="326">
        <f t="shared" si="37"/>
        <v>8.94</v>
      </c>
      <c r="H90" s="329">
        <f t="shared" si="38"/>
        <v>53.64</v>
      </c>
      <c r="I90" s="264"/>
      <c r="J90" s="4"/>
    </row>
    <row r="91" spans="1:11" s="20" customFormat="1">
      <c r="A91" s="460" t="s">
        <v>804</v>
      </c>
      <c r="B91" s="286" t="s">
        <v>88</v>
      </c>
      <c r="C91" s="474" t="s">
        <v>753</v>
      </c>
      <c r="D91" s="21" t="s">
        <v>18</v>
      </c>
      <c r="E91" s="271">
        <v>1</v>
      </c>
      <c r="F91" s="452">
        <f>Composição!F114</f>
        <v>508.06</v>
      </c>
      <c r="G91" s="326">
        <f t="shared" si="37"/>
        <v>654.48</v>
      </c>
      <c r="H91" s="329">
        <f t="shared" si="38"/>
        <v>654.48</v>
      </c>
      <c r="I91" s="264"/>
      <c r="J91" s="4"/>
    </row>
    <row r="92" spans="1:11" s="20" customFormat="1">
      <c r="A92" s="544" t="s">
        <v>352</v>
      </c>
      <c r="B92" s="544"/>
      <c r="C92" s="544"/>
      <c r="D92" s="544"/>
      <c r="E92" s="544"/>
      <c r="F92" s="544"/>
      <c r="G92" s="544"/>
      <c r="H92" s="274">
        <f>SUM(H84:H91)</f>
        <v>5534.53</v>
      </c>
      <c r="I92" s="264"/>
      <c r="J92" s="4"/>
    </row>
    <row r="93" spans="1:11" s="14" customFormat="1">
      <c r="A93" s="500">
        <v>7</v>
      </c>
      <c r="B93" s="498" t="s">
        <v>843</v>
      </c>
      <c r="C93" s="498"/>
      <c r="D93" s="499"/>
      <c r="E93" s="446"/>
      <c r="F93" s="482"/>
      <c r="G93" s="330"/>
      <c r="H93" s="446"/>
      <c r="I93" s="268"/>
      <c r="J93" s="4"/>
    </row>
    <row r="94" spans="1:11" s="16" customFormat="1" ht="15.75">
      <c r="A94" s="21" t="s">
        <v>663</v>
      </c>
      <c r="B94" s="286">
        <v>89580</v>
      </c>
      <c r="C94" s="505" t="s">
        <v>572</v>
      </c>
      <c r="D94" s="286" t="s">
        <v>17</v>
      </c>
      <c r="E94" s="271">
        <v>25</v>
      </c>
      <c r="F94" s="452">
        <v>85.03</v>
      </c>
      <c r="G94" s="326">
        <f t="shared" ref="G94:G98" si="39">F94*$J$1</f>
        <v>109.54</v>
      </c>
      <c r="H94" s="327">
        <f t="shared" ref="H94:H98" si="40">E94*G94</f>
        <v>2738.5</v>
      </c>
      <c r="I94" s="265"/>
      <c r="J94" s="241"/>
      <c r="K94" s="241"/>
    </row>
    <row r="95" spans="1:11" s="3" customFormat="1" ht="15.75">
      <c r="A95" s="21" t="s">
        <v>664</v>
      </c>
      <c r="B95" s="286">
        <v>89591</v>
      </c>
      <c r="C95" s="527" t="s">
        <v>573</v>
      </c>
      <c r="D95" s="286" t="s">
        <v>18</v>
      </c>
      <c r="E95" s="271">
        <v>8</v>
      </c>
      <c r="F95" s="452">
        <v>104.2</v>
      </c>
      <c r="G95" s="326">
        <f t="shared" si="39"/>
        <v>134.22999999999999</v>
      </c>
      <c r="H95" s="327">
        <f t="shared" si="40"/>
        <v>1073.8399999999999</v>
      </c>
      <c r="I95" s="265"/>
      <c r="J95" s="241"/>
      <c r="K95" s="241"/>
    </row>
    <row r="96" spans="1:11" s="20" customFormat="1" ht="45">
      <c r="A96" s="21" t="s">
        <v>488</v>
      </c>
      <c r="B96" s="286">
        <v>100434</v>
      </c>
      <c r="C96" s="458" t="s">
        <v>605</v>
      </c>
      <c r="D96" s="460" t="s">
        <v>17</v>
      </c>
      <c r="E96" s="271">
        <f>20.32*2</f>
        <v>40.64</v>
      </c>
      <c r="F96" s="452">
        <v>59.59</v>
      </c>
      <c r="G96" s="328">
        <f t="shared" si="39"/>
        <v>76.760000000000005</v>
      </c>
      <c r="H96" s="329">
        <f t="shared" si="40"/>
        <v>3119.53</v>
      </c>
      <c r="I96" s="265"/>
      <c r="J96" s="241"/>
      <c r="K96" s="241"/>
    </row>
    <row r="97" spans="1:11" s="20" customFormat="1" ht="45">
      <c r="A97" s="21" t="s">
        <v>805</v>
      </c>
      <c r="B97" s="286">
        <v>91791</v>
      </c>
      <c r="C97" s="458" t="s">
        <v>600</v>
      </c>
      <c r="D97" s="460" t="s">
        <v>17</v>
      </c>
      <c r="E97" s="271">
        <f>3.4*4</f>
        <v>13.6</v>
      </c>
      <c r="F97" s="452">
        <v>90.37</v>
      </c>
      <c r="G97" s="328">
        <f t="shared" si="39"/>
        <v>116.41</v>
      </c>
      <c r="H97" s="329">
        <f t="shared" si="40"/>
        <v>1583.18</v>
      </c>
      <c r="I97" s="265"/>
      <c r="J97" s="241"/>
      <c r="K97" s="241"/>
    </row>
    <row r="98" spans="1:11" s="16" customFormat="1" ht="30">
      <c r="A98" s="21" t="s">
        <v>806</v>
      </c>
      <c r="B98" s="532" t="s">
        <v>507</v>
      </c>
      <c r="C98" s="216" t="s">
        <v>505</v>
      </c>
      <c r="D98" s="286" t="s">
        <v>18</v>
      </c>
      <c r="E98" s="271">
        <v>4</v>
      </c>
      <c r="F98" s="452">
        <v>250.57</v>
      </c>
      <c r="G98" s="328">
        <f t="shared" si="39"/>
        <v>322.77999999999997</v>
      </c>
      <c r="H98" s="329">
        <f t="shared" si="40"/>
        <v>1291.1199999999999</v>
      </c>
      <c r="I98" s="265"/>
      <c r="J98" s="241"/>
      <c r="K98" s="241"/>
    </row>
    <row r="99" spans="1:11" s="13" customFormat="1" ht="30">
      <c r="A99" s="21" t="s">
        <v>807</v>
      </c>
      <c r="B99" s="21" t="s">
        <v>88</v>
      </c>
      <c r="C99" s="220" t="s">
        <v>603</v>
      </c>
      <c r="D99" s="21" t="s">
        <v>604</v>
      </c>
      <c r="E99" s="271">
        <v>1</v>
      </c>
      <c r="F99" s="452">
        <f>Composição!F128</f>
        <v>183.11</v>
      </c>
      <c r="G99" s="328">
        <f t="shared" ref="G99" si="41">F99*$J$1</f>
        <v>235.88</v>
      </c>
      <c r="H99" s="329">
        <f t="shared" ref="H99" si="42">E99*G99</f>
        <v>235.88</v>
      </c>
      <c r="I99" s="265"/>
      <c r="J99" s="241"/>
      <c r="K99" s="241"/>
    </row>
    <row r="100" spans="1:11" ht="15.75">
      <c r="A100" s="544" t="s">
        <v>489</v>
      </c>
      <c r="B100" s="544"/>
      <c r="C100" s="544"/>
      <c r="D100" s="544"/>
      <c r="E100" s="544"/>
      <c r="F100" s="544"/>
      <c r="G100" s="544"/>
      <c r="H100" s="274">
        <f>SUM(H94:H99)</f>
        <v>10042.049999999999</v>
      </c>
      <c r="I100" s="264">
        <f>H100</f>
        <v>10042.049999999999</v>
      </c>
      <c r="J100" s="241"/>
      <c r="K100" s="241"/>
    </row>
    <row r="101" spans="1:11" ht="15.75">
      <c r="A101" s="500">
        <v>8</v>
      </c>
      <c r="B101" s="498" t="s">
        <v>844</v>
      </c>
      <c r="C101" s="498"/>
      <c r="D101" s="499"/>
      <c r="E101" s="446"/>
      <c r="F101" s="482"/>
      <c r="G101" s="330"/>
      <c r="H101" s="446"/>
      <c r="I101" s="268"/>
      <c r="J101" s="241"/>
      <c r="K101" s="241"/>
    </row>
    <row r="102" spans="1:11" s="20" customFormat="1">
      <c r="A102" s="460" t="s">
        <v>26</v>
      </c>
      <c r="B102" s="21" t="s">
        <v>88</v>
      </c>
      <c r="C102" s="220" t="s">
        <v>530</v>
      </c>
      <c r="D102" s="217" t="s">
        <v>17</v>
      </c>
      <c r="E102" s="272">
        <f>2.2+2.2+0.9+1.3+1.3+2+2</f>
        <v>11.9</v>
      </c>
      <c r="F102" s="452">
        <f>Composição!F143</f>
        <v>6.89</v>
      </c>
      <c r="G102" s="290">
        <f t="shared" ref="G102" si="43">F102*$J$1</f>
        <v>8.8800000000000008</v>
      </c>
      <c r="H102" s="329">
        <f t="shared" ref="H102:H104" si="44">E102*G102</f>
        <v>105.67</v>
      </c>
      <c r="I102" s="263"/>
      <c r="J102" s="4"/>
    </row>
    <row r="103" spans="1:11" s="19" customFormat="1" ht="30">
      <c r="A103" s="460" t="s">
        <v>27</v>
      </c>
      <c r="B103" s="461" t="s">
        <v>834</v>
      </c>
      <c r="C103" s="533" t="s">
        <v>537</v>
      </c>
      <c r="D103" s="21" t="s">
        <v>11</v>
      </c>
      <c r="E103" s="534">
        <f>E128</f>
        <v>410.15</v>
      </c>
      <c r="F103" s="510">
        <v>3.6</v>
      </c>
      <c r="G103" s="535">
        <f t="shared" ref="G103" si="45">F103*$J$1</f>
        <v>4.6399999999999997</v>
      </c>
      <c r="H103" s="329">
        <f t="shared" si="44"/>
        <v>1903.1</v>
      </c>
      <c r="I103" s="267"/>
    </row>
    <row r="104" spans="1:11" s="19" customFormat="1" ht="30">
      <c r="A104" s="460" t="s">
        <v>28</v>
      </c>
      <c r="B104" s="461" t="s">
        <v>835</v>
      </c>
      <c r="C104" s="533" t="s">
        <v>496</v>
      </c>
      <c r="D104" s="21" t="s">
        <v>11</v>
      </c>
      <c r="E104" s="534">
        <f>E128</f>
        <v>410.15</v>
      </c>
      <c r="F104" s="510">
        <v>35.200000000000003</v>
      </c>
      <c r="G104" s="535">
        <f t="shared" ref="G104" si="46">F104*$J$1</f>
        <v>45.34</v>
      </c>
      <c r="H104" s="329">
        <f t="shared" si="44"/>
        <v>18596.2</v>
      </c>
      <c r="I104" s="267"/>
    </row>
    <row r="105" spans="1:11" s="20" customFormat="1">
      <c r="A105" s="544" t="s">
        <v>51</v>
      </c>
      <c r="B105" s="544"/>
      <c r="C105" s="544"/>
      <c r="D105" s="544"/>
      <c r="E105" s="544"/>
      <c r="F105" s="544"/>
      <c r="G105" s="544"/>
      <c r="H105" s="274">
        <f>SUM(H102:H104)</f>
        <v>20604.97</v>
      </c>
      <c r="I105" s="264">
        <f>H105</f>
        <v>20604.97</v>
      </c>
      <c r="J105" s="4"/>
    </row>
    <row r="106" spans="1:11" s="12" customFormat="1">
      <c r="A106" s="500">
        <v>9</v>
      </c>
      <c r="B106" s="498" t="s">
        <v>845</v>
      </c>
      <c r="C106" s="498"/>
      <c r="D106" s="499"/>
      <c r="E106" s="446"/>
      <c r="F106" s="482"/>
      <c r="G106" s="330"/>
      <c r="H106" s="446"/>
      <c r="I106" s="268"/>
      <c r="J106" s="8"/>
    </row>
    <row r="107" spans="1:11" s="12" customFormat="1">
      <c r="A107" s="460" t="s">
        <v>607</v>
      </c>
      <c r="B107" s="461" t="s">
        <v>88</v>
      </c>
      <c r="C107" s="459" t="s">
        <v>665</v>
      </c>
      <c r="D107" s="21" t="s">
        <v>8</v>
      </c>
      <c r="E107" s="271">
        <f>49.75+10.56+2.85+8.96+30.5</f>
        <v>102.62</v>
      </c>
      <c r="F107" s="452">
        <f>Composição!F157</f>
        <v>90.74</v>
      </c>
      <c r="G107" s="328">
        <f t="shared" ref="G107" si="47">F107*$J$1</f>
        <v>116.89</v>
      </c>
      <c r="H107" s="329">
        <f t="shared" ref="H107" si="48">E107*G107</f>
        <v>11995.25</v>
      </c>
      <c r="I107" s="263"/>
      <c r="J107" s="8"/>
    </row>
    <row r="108" spans="1:11" s="12" customFormat="1">
      <c r="A108" s="460" t="s">
        <v>721</v>
      </c>
      <c r="B108" s="461" t="s">
        <v>583</v>
      </c>
      <c r="C108" s="216" t="s">
        <v>582</v>
      </c>
      <c r="D108" s="286" t="s">
        <v>11</v>
      </c>
      <c r="E108" s="271">
        <f>49.75+10.56+2.85+8.96+30.5</f>
        <v>102.62</v>
      </c>
      <c r="F108" s="452">
        <v>100.9</v>
      </c>
      <c r="G108" s="328">
        <f t="shared" ref="G108" si="49">F108*$J$1</f>
        <v>129.97999999999999</v>
      </c>
      <c r="H108" s="329">
        <f t="shared" ref="H108" si="50">E108*G108</f>
        <v>13338.55</v>
      </c>
      <c r="I108" s="263"/>
      <c r="J108" s="8"/>
    </row>
    <row r="109" spans="1:11" s="9" customFormat="1">
      <c r="A109" s="460" t="s">
        <v>608</v>
      </c>
      <c r="B109" s="460" t="s">
        <v>584</v>
      </c>
      <c r="C109" s="216" t="s">
        <v>585</v>
      </c>
      <c r="D109" s="285" t="s">
        <v>17</v>
      </c>
      <c r="E109" s="271">
        <f>(9.27+6.5+7.55+4.3+0.9+3.25+5.52+3.25+5.52+5.52+1.65+1.65+1.65+1.45+6.5+4.65+6.5+4.65)-1.4-0.9-0.9</f>
        <v>77.08</v>
      </c>
      <c r="F109" s="452">
        <v>10.08</v>
      </c>
      <c r="G109" s="328">
        <f t="shared" ref="G109" si="51">F109*$J$1</f>
        <v>12.99</v>
      </c>
      <c r="H109" s="329">
        <f t="shared" ref="H109" si="52">E109*G109</f>
        <v>1001.27</v>
      </c>
      <c r="I109" s="263">
        <f>3.489/0.15</f>
        <v>23.26</v>
      </c>
      <c r="J109" s="8">
        <v>7.52</v>
      </c>
    </row>
    <row r="110" spans="1:11" s="12" customFormat="1" ht="30">
      <c r="A110" s="460" t="s">
        <v>609</v>
      </c>
      <c r="B110" s="536">
        <v>94990</v>
      </c>
      <c r="C110" s="506" t="s">
        <v>632</v>
      </c>
      <c r="D110" s="21" t="s">
        <v>8</v>
      </c>
      <c r="E110" s="271">
        <f>54.23*0.06</f>
        <v>3.25</v>
      </c>
      <c r="F110" s="452">
        <v>736.14</v>
      </c>
      <c r="G110" s="328">
        <f t="shared" ref="G110" si="53">F110*$J$1</f>
        <v>948.3</v>
      </c>
      <c r="H110" s="329">
        <f t="shared" ref="H110" si="54">E110*G110</f>
        <v>3081.98</v>
      </c>
      <c r="I110" s="263"/>
      <c r="J110" s="8"/>
    </row>
    <row r="111" spans="1:11" s="12" customFormat="1" ht="35.25" customHeight="1">
      <c r="A111" s="460" t="s">
        <v>490</v>
      </c>
      <c r="B111" s="286">
        <v>94992</v>
      </c>
      <c r="C111" s="506" t="s">
        <v>739</v>
      </c>
      <c r="D111" s="285" t="s">
        <v>11</v>
      </c>
      <c r="E111" s="271">
        <v>104.18</v>
      </c>
      <c r="F111" s="452">
        <v>95.94</v>
      </c>
      <c r="G111" s="328">
        <f t="shared" ref="G111" si="55">F111*$J$1</f>
        <v>123.59</v>
      </c>
      <c r="H111" s="329">
        <f t="shared" ref="H111" si="56">E111*G111</f>
        <v>12875.61</v>
      </c>
      <c r="I111" s="263"/>
      <c r="J111" s="8"/>
    </row>
    <row r="112" spans="1:11" s="20" customFormat="1">
      <c r="A112" s="544" t="s">
        <v>29</v>
      </c>
      <c r="B112" s="544"/>
      <c r="C112" s="544"/>
      <c r="D112" s="544"/>
      <c r="E112" s="544"/>
      <c r="F112" s="544"/>
      <c r="G112" s="544"/>
      <c r="H112" s="274">
        <f>SUM(H107:H111)</f>
        <v>42292.66</v>
      </c>
      <c r="I112" s="264">
        <f>H112</f>
        <v>42292.66</v>
      </c>
      <c r="J112" s="4"/>
    </row>
    <row r="113" spans="1:14">
      <c r="A113" s="500">
        <v>10</v>
      </c>
      <c r="B113" s="498" t="s">
        <v>846</v>
      </c>
      <c r="C113" s="498"/>
      <c r="D113" s="499"/>
      <c r="E113" s="446"/>
      <c r="F113" s="482"/>
      <c r="G113" s="330"/>
      <c r="H113" s="446"/>
      <c r="I113" s="268"/>
    </row>
    <row r="114" spans="1:14" s="20" customFormat="1" ht="45">
      <c r="A114" s="336" t="s">
        <v>30</v>
      </c>
      <c r="B114" s="537" t="s">
        <v>440</v>
      </c>
      <c r="C114" s="462" t="s">
        <v>613</v>
      </c>
      <c r="D114" s="285" t="s">
        <v>11</v>
      </c>
      <c r="E114" s="271">
        <f>2*1.1</f>
        <v>2.2000000000000002</v>
      </c>
      <c r="F114" s="452">
        <v>752.81</v>
      </c>
      <c r="G114" s="290">
        <f t="shared" ref="G114:G118" si="57">F114*$J$1</f>
        <v>969.77</v>
      </c>
      <c r="H114" s="329">
        <f t="shared" ref="H114:H118" si="58">E114*G114</f>
        <v>2133.4899999999998</v>
      </c>
      <c r="I114" s="263"/>
      <c r="J114" s="4"/>
    </row>
    <row r="115" spans="1:14" s="20" customFormat="1" ht="30">
      <c r="A115" s="336" t="s">
        <v>722</v>
      </c>
      <c r="B115" s="461" t="s">
        <v>504</v>
      </c>
      <c r="C115" s="462" t="s">
        <v>498</v>
      </c>
      <c r="D115" s="219" t="s">
        <v>11</v>
      </c>
      <c r="E115" s="271">
        <f>2.4*2.2</f>
        <v>5.28</v>
      </c>
      <c r="F115" s="452">
        <v>325.05</v>
      </c>
      <c r="G115" s="290">
        <f t="shared" ref="G115" si="59">F115*$J$1</f>
        <v>418.73</v>
      </c>
      <c r="H115" s="329">
        <f t="shared" ref="H115" si="60">E115*G115</f>
        <v>2210.89</v>
      </c>
      <c r="I115" s="263"/>
      <c r="J115" s="4"/>
    </row>
    <row r="116" spans="1:14" s="20" customFormat="1" ht="30">
      <c r="A116" s="336" t="s">
        <v>808</v>
      </c>
      <c r="B116" s="537" t="s">
        <v>497</v>
      </c>
      <c r="C116" s="462" t="s">
        <v>611</v>
      </c>
      <c r="D116" s="219" t="s">
        <v>11</v>
      </c>
      <c r="E116" s="271">
        <f>2.2*1.4*2</f>
        <v>6.16</v>
      </c>
      <c r="F116" s="452">
        <v>389.16</v>
      </c>
      <c r="G116" s="290">
        <f t="shared" ref="G116" si="61">F116*$J$1</f>
        <v>501.32</v>
      </c>
      <c r="H116" s="329">
        <f t="shared" ref="H116" si="62">E116*G116</f>
        <v>3088.13</v>
      </c>
      <c r="I116" s="263"/>
      <c r="J116" s="4"/>
    </row>
    <row r="117" spans="1:14" s="20" customFormat="1" ht="45">
      <c r="A117" s="336" t="s">
        <v>809</v>
      </c>
      <c r="B117" s="537" t="s">
        <v>610</v>
      </c>
      <c r="C117" s="462" t="s">
        <v>612</v>
      </c>
      <c r="D117" s="219" t="s">
        <v>11</v>
      </c>
      <c r="E117" s="271">
        <f>2*2.5</f>
        <v>5</v>
      </c>
      <c r="F117" s="452">
        <v>904.86</v>
      </c>
      <c r="G117" s="290">
        <f t="shared" ref="G117" si="63">F117*$J$1</f>
        <v>1165.6400000000001</v>
      </c>
      <c r="H117" s="329">
        <f t="shared" ref="H117" si="64">E117*G117</f>
        <v>5828.2</v>
      </c>
      <c r="I117" s="463" t="s">
        <v>614</v>
      </c>
      <c r="J117" s="4"/>
    </row>
    <row r="118" spans="1:14" s="20" customFormat="1" ht="70.5" customHeight="1">
      <c r="A118" s="336" t="s">
        <v>810</v>
      </c>
      <c r="B118" s="318" t="s">
        <v>88</v>
      </c>
      <c r="C118" s="462" t="s">
        <v>629</v>
      </c>
      <c r="D118" s="219" t="s">
        <v>4</v>
      </c>
      <c r="E118" s="271">
        <v>2</v>
      </c>
      <c r="F118" s="452">
        <f>Composição!F176</f>
        <v>1485.57</v>
      </c>
      <c r="G118" s="290">
        <f t="shared" si="57"/>
        <v>1913.71</v>
      </c>
      <c r="H118" s="329">
        <f t="shared" si="58"/>
        <v>3827.42</v>
      </c>
      <c r="I118" s="263"/>
      <c r="J118" s="4"/>
    </row>
    <row r="119" spans="1:14" s="20" customFormat="1">
      <c r="A119" s="544" t="s">
        <v>31</v>
      </c>
      <c r="B119" s="544"/>
      <c r="C119" s="544"/>
      <c r="D119" s="544"/>
      <c r="E119" s="544"/>
      <c r="F119" s="544"/>
      <c r="G119" s="544"/>
      <c r="H119" s="331">
        <f>SUM(H114:H118)</f>
        <v>17088.13</v>
      </c>
      <c r="I119" s="269">
        <f>H119</f>
        <v>17088.13</v>
      </c>
      <c r="J119" s="4"/>
    </row>
    <row r="120" spans="1:14" s="20" customFormat="1">
      <c r="A120" s="500">
        <v>11</v>
      </c>
      <c r="B120" s="498" t="s">
        <v>847</v>
      </c>
      <c r="C120" s="498"/>
      <c r="D120" s="498"/>
      <c r="E120" s="498"/>
      <c r="F120" s="498"/>
      <c r="G120" s="498"/>
      <c r="H120" s="499"/>
      <c r="I120" s="313"/>
      <c r="J120" s="4"/>
    </row>
    <row r="121" spans="1:14" s="20" customFormat="1">
      <c r="A121" s="460" t="s">
        <v>723</v>
      </c>
      <c r="B121" s="460" t="s">
        <v>500</v>
      </c>
      <c r="C121" s="458" t="s">
        <v>631</v>
      </c>
      <c r="D121" s="286" t="s">
        <v>11</v>
      </c>
      <c r="E121" s="271">
        <f>54.24+5.06+5.06+(0.25*20.32*2)+49.75+10.56+8.96+2.85+30.5</f>
        <v>177.14</v>
      </c>
      <c r="F121" s="452">
        <v>33.58</v>
      </c>
      <c r="G121" s="290">
        <f>F121*$J$1</f>
        <v>43.26</v>
      </c>
      <c r="H121" s="329">
        <f>E121*G121</f>
        <v>7663.08</v>
      </c>
      <c r="I121" s="270"/>
      <c r="J121" s="4"/>
    </row>
    <row r="122" spans="1:14" s="20" customFormat="1" ht="30">
      <c r="A122" s="460" t="s">
        <v>811</v>
      </c>
      <c r="B122" s="460" t="s">
        <v>495</v>
      </c>
      <c r="C122" s="527" t="s">
        <v>532</v>
      </c>
      <c r="D122" s="286" t="s">
        <v>11</v>
      </c>
      <c r="E122" s="271">
        <f>E121</f>
        <v>177.14</v>
      </c>
      <c r="F122" s="452">
        <v>47.31</v>
      </c>
      <c r="G122" s="290">
        <f>F122*$J$1</f>
        <v>60.94</v>
      </c>
      <c r="H122" s="329">
        <f t="shared" ref="H122" si="65">E122*G122</f>
        <v>10794.91</v>
      </c>
      <c r="I122" s="405" t="s">
        <v>531</v>
      </c>
      <c r="J122" s="4"/>
    </row>
    <row r="123" spans="1:14" s="20" customFormat="1">
      <c r="A123" s="544" t="s">
        <v>44</v>
      </c>
      <c r="B123" s="544"/>
      <c r="C123" s="544"/>
      <c r="D123" s="544"/>
      <c r="E123" s="544"/>
      <c r="F123" s="544"/>
      <c r="G123" s="544"/>
      <c r="H123" s="331">
        <f>SUM(H121:H122)</f>
        <v>18457.990000000002</v>
      </c>
      <c r="I123" s="269">
        <f>H123</f>
        <v>18457.990000000002</v>
      </c>
      <c r="J123" s="4"/>
    </row>
    <row r="124" spans="1:14" s="20" customFormat="1">
      <c r="A124" s="500">
        <v>12</v>
      </c>
      <c r="B124" s="498" t="s">
        <v>848</v>
      </c>
      <c r="C124" s="498"/>
      <c r="D124" s="498"/>
      <c r="E124" s="498"/>
      <c r="F124" s="498"/>
      <c r="G124" s="498"/>
      <c r="H124" s="499"/>
      <c r="I124" s="313"/>
      <c r="J124" s="4"/>
    </row>
    <row r="125" spans="1:14" s="20" customFormat="1" ht="30">
      <c r="A125" s="460" t="s">
        <v>32</v>
      </c>
      <c r="B125" s="21" t="s">
        <v>588</v>
      </c>
      <c r="C125" s="505" t="s">
        <v>587</v>
      </c>
      <c r="D125" s="286" t="s">
        <v>11</v>
      </c>
      <c r="E125" s="271">
        <f>2*0.19</f>
        <v>0.38</v>
      </c>
      <c r="F125" s="290">
        <v>550.12</v>
      </c>
      <c r="G125" s="290">
        <f>F125*$J$1</f>
        <v>708.66</v>
      </c>
      <c r="H125" s="329">
        <f t="shared" ref="H125" si="66">E125*G125</f>
        <v>269.29000000000002</v>
      </c>
      <c r="I125" s="270" t="s">
        <v>586</v>
      </c>
      <c r="J125" s="4">
        <f>533.56*0.19*2</f>
        <v>202.75280000000001</v>
      </c>
      <c r="L125" s="15"/>
      <c r="M125" s="15"/>
      <c r="N125" s="15"/>
    </row>
    <row r="126" spans="1:14" s="20" customFormat="1">
      <c r="A126" s="544" t="s">
        <v>44</v>
      </c>
      <c r="B126" s="544"/>
      <c r="C126" s="544"/>
      <c r="D126" s="544"/>
      <c r="E126" s="544"/>
      <c r="F126" s="544"/>
      <c r="G126" s="544"/>
      <c r="H126" s="274">
        <f>SUM(H125:H125)</f>
        <v>269.29000000000002</v>
      </c>
      <c r="I126" s="264">
        <f>H126</f>
        <v>269.29000000000002</v>
      </c>
      <c r="J126" s="4"/>
      <c r="L126" s="15"/>
      <c r="M126" s="15"/>
      <c r="N126" s="15"/>
    </row>
    <row r="127" spans="1:14">
      <c r="A127" s="500">
        <v>13</v>
      </c>
      <c r="B127" s="498" t="s">
        <v>849</v>
      </c>
      <c r="C127" s="498"/>
      <c r="D127" s="499"/>
      <c r="E127" s="446"/>
      <c r="F127" s="482"/>
      <c r="G127" s="330"/>
      <c r="H127" s="446"/>
      <c r="I127" s="268"/>
    </row>
    <row r="128" spans="1:14" s="20" customFormat="1" ht="30">
      <c r="A128" s="460" t="s">
        <v>724</v>
      </c>
      <c r="B128" s="512">
        <v>96135</v>
      </c>
      <c r="C128" s="459" t="s">
        <v>606</v>
      </c>
      <c r="D128" s="286" t="s">
        <v>11</v>
      </c>
      <c r="E128" s="272">
        <f>E130+E129</f>
        <v>410.15</v>
      </c>
      <c r="F128" s="452">
        <v>18.41</v>
      </c>
      <c r="G128" s="328">
        <f t="shared" ref="G128:G132" si="67">F128*$J$1</f>
        <v>23.72</v>
      </c>
      <c r="H128" s="329">
        <f t="shared" ref="H128:H135" si="68">E128*G128</f>
        <v>9728.76</v>
      </c>
      <c r="I128" s="262"/>
      <c r="J128" s="4"/>
    </row>
    <row r="129" spans="1:73" s="18" customFormat="1" ht="30">
      <c r="A129" s="460" t="s">
        <v>725</v>
      </c>
      <c r="B129" s="512">
        <v>88485</v>
      </c>
      <c r="C129" s="220" t="s">
        <v>589</v>
      </c>
      <c r="D129" s="21" t="s">
        <v>11</v>
      </c>
      <c r="E129" s="272">
        <f>E131</f>
        <v>244.85</v>
      </c>
      <c r="F129" s="452">
        <v>2.1</v>
      </c>
      <c r="G129" s="328">
        <f>F129*$J$1</f>
        <v>2.71</v>
      </c>
      <c r="H129" s="329">
        <f t="shared" si="68"/>
        <v>663.54</v>
      </c>
      <c r="I129" s="267"/>
      <c r="J129" s="103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</row>
    <row r="130" spans="1:73" s="18" customFormat="1" ht="30">
      <c r="A130" s="460" t="s">
        <v>726</v>
      </c>
      <c r="B130" s="512">
        <v>88415</v>
      </c>
      <c r="C130" s="220" t="s">
        <v>590</v>
      </c>
      <c r="D130" s="286" t="s">
        <v>11</v>
      </c>
      <c r="E130" s="272">
        <f>E132</f>
        <v>165.3</v>
      </c>
      <c r="F130" s="452">
        <v>2.4</v>
      </c>
      <c r="G130" s="328">
        <f>F130*$J$1</f>
        <v>3.09</v>
      </c>
      <c r="H130" s="329">
        <f t="shared" ref="H130" si="69">E130*G130</f>
        <v>510.78</v>
      </c>
      <c r="I130" s="267"/>
      <c r="J130" s="103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</row>
    <row r="131" spans="1:73" s="20" customFormat="1" ht="30" customHeight="1">
      <c r="A131" s="460" t="s">
        <v>727</v>
      </c>
      <c r="B131" s="461" t="s">
        <v>426</v>
      </c>
      <c r="C131" s="459" t="s">
        <v>591</v>
      </c>
      <c r="D131" s="286" t="s">
        <v>11</v>
      </c>
      <c r="E131" s="272">
        <v>244.85</v>
      </c>
      <c r="F131" s="452">
        <v>12.61</v>
      </c>
      <c r="G131" s="328">
        <f t="shared" si="67"/>
        <v>16.239999999999998</v>
      </c>
      <c r="H131" s="329">
        <f t="shared" si="68"/>
        <v>3976.36</v>
      </c>
      <c r="I131" s="444">
        <f>9.27+6.5+7.55+4.3+0.9+3.25+5.52+3.25+5.52+5.52+1.65+1.65+1.65+1.45+6.5+4.65+6.5+4.65</f>
        <v>80.28</v>
      </c>
      <c r="J131" s="4">
        <f>I131*3.05</f>
        <v>244.85400000000001</v>
      </c>
    </row>
    <row r="132" spans="1:73" s="20" customFormat="1" ht="31.5" customHeight="1">
      <c r="A132" s="460" t="s">
        <v>812</v>
      </c>
      <c r="B132" s="538" t="s">
        <v>426</v>
      </c>
      <c r="C132" s="459" t="s">
        <v>592</v>
      </c>
      <c r="D132" s="286" t="s">
        <v>11</v>
      </c>
      <c r="E132" s="272">
        <f>(25.86*2)+(18.32*3.1*2)</f>
        <v>165.3</v>
      </c>
      <c r="F132" s="452">
        <v>12.61</v>
      </c>
      <c r="G132" s="328">
        <f t="shared" si="67"/>
        <v>16.239999999999998</v>
      </c>
      <c r="H132" s="329">
        <f t="shared" si="68"/>
        <v>2684.47</v>
      </c>
      <c r="I132" s="444">
        <f>4.4+4.4+1.4+1.4+(0.27*7.35)</f>
        <v>13.58</v>
      </c>
      <c r="J132" s="4"/>
    </row>
    <row r="133" spans="1:73" s="20" customFormat="1" ht="31.5" customHeight="1">
      <c r="A133" s="460" t="s">
        <v>813</v>
      </c>
      <c r="B133" s="538" t="s">
        <v>426</v>
      </c>
      <c r="C133" s="459" t="s">
        <v>733</v>
      </c>
      <c r="D133" s="286" t="s">
        <v>11</v>
      </c>
      <c r="E133" s="272">
        <f>11.9*0.05</f>
        <v>0.6</v>
      </c>
      <c r="F133" s="452">
        <v>12.61</v>
      </c>
      <c r="G133" s="328">
        <f t="shared" ref="G133" si="70">F133*$J$1</f>
        <v>16.239999999999998</v>
      </c>
      <c r="H133" s="329">
        <f t="shared" ref="H133" si="71">E133*G133</f>
        <v>9.74</v>
      </c>
      <c r="I133" s="444"/>
      <c r="J133" s="4"/>
    </row>
    <row r="134" spans="1:73" s="18" customFormat="1" ht="30">
      <c r="A134" s="460" t="s">
        <v>814</v>
      </c>
      <c r="B134" s="275" t="s">
        <v>595</v>
      </c>
      <c r="C134" s="220" t="s">
        <v>594</v>
      </c>
      <c r="D134" s="21" t="s">
        <v>11</v>
      </c>
      <c r="E134" s="272">
        <f>((1.4*2.2*2*2)+(2*2.5*2)+(2.4*2.2*2))*2</f>
        <v>65.760000000000005</v>
      </c>
      <c r="F134" s="452">
        <v>16.64</v>
      </c>
      <c r="G134" s="328">
        <f t="shared" ref="G134:G135" si="72">F134*$J$1</f>
        <v>21.44</v>
      </c>
      <c r="H134" s="329">
        <f t="shared" si="68"/>
        <v>1409.89</v>
      </c>
      <c r="I134" s="267"/>
      <c r="J134" s="103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</row>
    <row r="135" spans="1:73" s="18" customFormat="1" ht="30">
      <c r="A135" s="460" t="s">
        <v>815</v>
      </c>
      <c r="B135" s="21">
        <v>102491</v>
      </c>
      <c r="C135" s="220" t="s">
        <v>569</v>
      </c>
      <c r="D135" s="21" t="s">
        <v>11</v>
      </c>
      <c r="E135" s="272">
        <f>E111+54.23</f>
        <v>158.41</v>
      </c>
      <c r="F135" s="452">
        <v>15.17</v>
      </c>
      <c r="G135" s="328">
        <f t="shared" si="72"/>
        <v>19.54</v>
      </c>
      <c r="H135" s="329">
        <f t="shared" si="68"/>
        <v>3095.33</v>
      </c>
      <c r="I135" s="267"/>
      <c r="J135" s="103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</row>
    <row r="136" spans="1:73" s="20" customFormat="1">
      <c r="A136" s="544" t="s">
        <v>33</v>
      </c>
      <c r="B136" s="544"/>
      <c r="C136" s="544"/>
      <c r="D136" s="544"/>
      <c r="E136" s="544"/>
      <c r="F136" s="544"/>
      <c r="G136" s="544"/>
      <c r="H136" s="274">
        <f>SUM(H128:H135)</f>
        <v>22078.87</v>
      </c>
      <c r="I136" s="264">
        <f>H136</f>
        <v>22078.87</v>
      </c>
      <c r="J136" s="4"/>
    </row>
    <row r="137" spans="1:73">
      <c r="A137" s="497">
        <v>14</v>
      </c>
      <c r="B137" s="495" t="s">
        <v>850</v>
      </c>
      <c r="C137" s="495"/>
      <c r="D137" s="496"/>
      <c r="E137" s="445"/>
      <c r="F137" s="482"/>
      <c r="G137" s="280"/>
      <c r="H137" s="445"/>
      <c r="I137" s="261"/>
    </row>
    <row r="138" spans="1:73" s="13" customFormat="1" ht="30">
      <c r="A138" s="21" t="s">
        <v>34</v>
      </c>
      <c r="B138" s="21" t="s">
        <v>435</v>
      </c>
      <c r="C138" s="288" t="s">
        <v>754</v>
      </c>
      <c r="D138" s="21" t="s">
        <v>17</v>
      </c>
      <c r="E138" s="271">
        <v>25</v>
      </c>
      <c r="F138" s="290">
        <v>102.37</v>
      </c>
      <c r="G138" s="290">
        <f t="shared" ref="G138:G139" si="73">F138*$J$1</f>
        <v>131.87</v>
      </c>
      <c r="H138" s="319">
        <f t="shared" ref="H138:H141" si="74">E138*G138</f>
        <v>3296.75</v>
      </c>
      <c r="I138" s="263"/>
      <c r="J138" s="2"/>
    </row>
    <row r="139" spans="1:73" s="13" customFormat="1" ht="30" customHeight="1">
      <c r="A139" s="21" t="s">
        <v>35</v>
      </c>
      <c r="B139" s="21" t="s">
        <v>88</v>
      </c>
      <c r="C139" s="288" t="s">
        <v>758</v>
      </c>
      <c r="D139" s="21" t="s">
        <v>17</v>
      </c>
      <c r="E139" s="271">
        <v>25</v>
      </c>
      <c r="F139" s="290">
        <f>Composição!F185</f>
        <v>18.86</v>
      </c>
      <c r="G139" s="290">
        <f t="shared" si="73"/>
        <v>24.3</v>
      </c>
      <c r="H139" s="319">
        <f t="shared" si="74"/>
        <v>607.5</v>
      </c>
      <c r="I139" s="263"/>
      <c r="J139" s="2"/>
    </row>
    <row r="140" spans="1:73" s="13" customFormat="1" ht="28.5" customHeight="1">
      <c r="A140" s="21" t="s">
        <v>37</v>
      </c>
      <c r="B140" s="21">
        <v>96995</v>
      </c>
      <c r="C140" s="288" t="s">
        <v>757</v>
      </c>
      <c r="D140" s="21" t="s">
        <v>8</v>
      </c>
      <c r="E140" s="271">
        <f>(105*0.2)+(102.62*0.4)</f>
        <v>62.05</v>
      </c>
      <c r="F140" s="290">
        <v>36.119999999999997</v>
      </c>
      <c r="G140" s="290">
        <f t="shared" ref="G140" si="75">F140*$J$1</f>
        <v>46.53</v>
      </c>
      <c r="H140" s="319">
        <f t="shared" ref="H140" si="76">E140*G140</f>
        <v>2887.19</v>
      </c>
      <c r="I140" s="263"/>
      <c r="J140" s="2"/>
    </row>
    <row r="141" spans="1:73" s="13" customFormat="1" ht="30">
      <c r="A141" s="21" t="s">
        <v>816</v>
      </c>
      <c r="B141" s="21" t="s">
        <v>88</v>
      </c>
      <c r="C141" s="216" t="s">
        <v>565</v>
      </c>
      <c r="D141" s="21" t="s">
        <v>11</v>
      </c>
      <c r="E141" s="287">
        <f>78.24*0.15</f>
        <v>11.74</v>
      </c>
      <c r="F141" s="290">
        <f>Composição!F195</f>
        <v>33.479999999999997</v>
      </c>
      <c r="G141" s="290">
        <f>F141*$J$1</f>
        <v>43.13</v>
      </c>
      <c r="H141" s="319">
        <f t="shared" si="74"/>
        <v>506.35</v>
      </c>
      <c r="I141" s="263"/>
      <c r="J141" s="2"/>
    </row>
    <row r="142" spans="1:73">
      <c r="A142" s="544" t="s">
        <v>45</v>
      </c>
      <c r="B142" s="544"/>
      <c r="C142" s="544"/>
      <c r="D142" s="544"/>
      <c r="E142" s="544"/>
      <c r="F142" s="544"/>
      <c r="G142" s="544"/>
      <c r="H142" s="274">
        <f>SUM(H138:H141)</f>
        <v>7297.79</v>
      </c>
      <c r="I142" s="264"/>
    </row>
    <row r="143" spans="1:73" s="13" customFormat="1">
      <c r="A143" s="500">
        <v>15</v>
      </c>
      <c r="B143" s="498" t="s">
        <v>851</v>
      </c>
      <c r="C143" s="498"/>
      <c r="D143" s="498"/>
      <c r="E143" s="498"/>
      <c r="F143" s="499"/>
      <c r="G143" s="446"/>
      <c r="H143" s="446"/>
      <c r="I143" s="264"/>
      <c r="J143" s="2"/>
    </row>
    <row r="144" spans="1:73" s="13" customFormat="1">
      <c r="A144" s="21" t="s">
        <v>728</v>
      </c>
      <c r="B144" s="507" t="s">
        <v>538</v>
      </c>
      <c r="C144" s="539" t="s">
        <v>539</v>
      </c>
      <c r="D144" s="219" t="s">
        <v>18</v>
      </c>
      <c r="E144" s="540">
        <v>5</v>
      </c>
      <c r="F144" s="290">
        <v>199.52</v>
      </c>
      <c r="G144" s="290">
        <f>F144*$J$1</f>
        <v>257.02</v>
      </c>
      <c r="H144" s="319">
        <f>E144*G144</f>
        <v>1285.0999999999999</v>
      </c>
      <c r="I144" s="264"/>
      <c r="J144" s="2"/>
    </row>
    <row r="145" spans="1:12" s="13" customFormat="1">
      <c r="A145" s="21" t="s">
        <v>729</v>
      </c>
      <c r="B145" s="507">
        <v>97599</v>
      </c>
      <c r="C145" s="539" t="s">
        <v>444</v>
      </c>
      <c r="D145" s="219" t="s">
        <v>18</v>
      </c>
      <c r="E145" s="217">
        <v>3</v>
      </c>
      <c r="F145" s="290">
        <v>27.39</v>
      </c>
      <c r="G145" s="290">
        <f>F145*$J$1</f>
        <v>35.28</v>
      </c>
      <c r="H145" s="319">
        <f t="shared" ref="H145:H146" si="77">E145*G145</f>
        <v>105.84</v>
      </c>
      <c r="I145" s="264"/>
      <c r="J145" s="2"/>
    </row>
    <row r="146" spans="1:12" s="13" customFormat="1" ht="60">
      <c r="A146" s="21" t="s">
        <v>817</v>
      </c>
      <c r="B146" s="381" t="s">
        <v>88</v>
      </c>
      <c r="C146" s="468" t="s">
        <v>755</v>
      </c>
      <c r="D146" s="219" t="s">
        <v>23</v>
      </c>
      <c r="E146" s="285">
        <v>1</v>
      </c>
      <c r="F146" s="290">
        <f>Composição!F211</f>
        <v>531.6</v>
      </c>
      <c r="G146" s="290">
        <f>F146*$J$1</f>
        <v>684.81</v>
      </c>
      <c r="H146" s="319">
        <f t="shared" si="77"/>
        <v>684.81</v>
      </c>
      <c r="I146" s="471" t="s">
        <v>740</v>
      </c>
      <c r="J146" s="2"/>
      <c r="L146" s="2" t="s">
        <v>741</v>
      </c>
    </row>
    <row r="147" spans="1:12" s="13" customFormat="1">
      <c r="A147" s="544" t="s">
        <v>730</v>
      </c>
      <c r="B147" s="544"/>
      <c r="C147" s="544"/>
      <c r="D147" s="544"/>
      <c r="E147" s="544"/>
      <c r="F147" s="544"/>
      <c r="G147" s="544"/>
      <c r="H147" s="314">
        <f>SUM(H144:H146)</f>
        <v>2075.75</v>
      </c>
      <c r="I147" s="264">
        <f>H147</f>
        <v>2075.75</v>
      </c>
      <c r="J147" s="2"/>
    </row>
    <row r="148" spans="1:12" s="13" customFormat="1">
      <c r="A148" s="500">
        <v>16</v>
      </c>
      <c r="B148" s="498" t="s">
        <v>852</v>
      </c>
      <c r="C148" s="498"/>
      <c r="D148" s="499"/>
      <c r="E148" s="446"/>
      <c r="F148" s="482"/>
      <c r="G148" s="330"/>
      <c r="H148" s="446"/>
      <c r="J148" s="2"/>
    </row>
    <row r="149" spans="1:12" s="13" customFormat="1" ht="30">
      <c r="A149" s="21" t="s">
        <v>300</v>
      </c>
      <c r="B149" s="21" t="s">
        <v>88</v>
      </c>
      <c r="C149" s="220" t="s">
        <v>570</v>
      </c>
      <c r="D149" s="219" t="s">
        <v>18</v>
      </c>
      <c r="E149" s="320">
        <v>1</v>
      </c>
      <c r="F149" s="290">
        <f>Composição!F223</f>
        <v>682.15</v>
      </c>
      <c r="G149" s="290">
        <f>F149*$J$1</f>
        <v>878.75</v>
      </c>
      <c r="H149" s="319">
        <f>E149*G149</f>
        <v>878.75</v>
      </c>
      <c r="J149" s="2"/>
    </row>
    <row r="150" spans="1:12" s="13" customFormat="1">
      <c r="A150" s="21" t="s">
        <v>301</v>
      </c>
      <c r="B150" s="541" t="s">
        <v>521</v>
      </c>
      <c r="C150" s="220" t="s">
        <v>522</v>
      </c>
      <c r="D150" s="286" t="s">
        <v>22</v>
      </c>
      <c r="E150" s="320">
        <v>282</v>
      </c>
      <c r="F150" s="290">
        <v>6.03</v>
      </c>
      <c r="G150" s="290">
        <f>F150*$J$1</f>
        <v>7.77</v>
      </c>
      <c r="H150" s="319">
        <f>E150*G150</f>
        <v>2191.14</v>
      </c>
      <c r="J150" s="2"/>
    </row>
    <row r="151" spans="1:12" s="13" customFormat="1">
      <c r="A151" s="544" t="s">
        <v>38</v>
      </c>
      <c r="B151" s="544"/>
      <c r="C151" s="544"/>
      <c r="D151" s="544"/>
      <c r="E151" s="544"/>
      <c r="F151" s="544"/>
      <c r="G151" s="544"/>
      <c r="H151" s="274">
        <f>SUM(H149:H150)</f>
        <v>3069.89</v>
      </c>
      <c r="I151" s="256">
        <f>H151</f>
        <v>3069.89</v>
      </c>
      <c r="J151" s="2"/>
    </row>
    <row r="152" spans="1:12" s="278" customFormat="1">
      <c r="A152" s="497">
        <v>17</v>
      </c>
      <c r="B152" s="495" t="s">
        <v>854</v>
      </c>
      <c r="C152" s="495"/>
      <c r="D152" s="495"/>
      <c r="E152" s="495"/>
      <c r="F152" s="496"/>
      <c r="G152" s="447"/>
      <c r="H152" s="447"/>
    </row>
    <row r="153" spans="1:12" s="278" customFormat="1" ht="45">
      <c r="A153" s="460" t="s">
        <v>731</v>
      </c>
      <c r="B153" s="512" t="s">
        <v>598</v>
      </c>
      <c r="C153" s="459" t="s">
        <v>599</v>
      </c>
      <c r="D153" s="316" t="s">
        <v>18</v>
      </c>
      <c r="E153" s="285">
        <v>1</v>
      </c>
      <c r="F153" s="454">
        <v>4195.6000000000004</v>
      </c>
      <c r="G153" s="290">
        <f t="shared" ref="G153" si="78">F153*$J$1</f>
        <v>5404.77</v>
      </c>
      <c r="H153" s="319">
        <f t="shared" ref="H153" si="79">E153*G153</f>
        <v>5404.77</v>
      </c>
    </row>
    <row r="154" spans="1:12" s="278" customFormat="1" ht="15.75">
      <c r="A154" s="544" t="s">
        <v>732</v>
      </c>
      <c r="B154" s="544"/>
      <c r="C154" s="544"/>
      <c r="D154" s="544"/>
      <c r="E154" s="544"/>
      <c r="F154" s="544"/>
      <c r="G154" s="544"/>
      <c r="H154" s="314">
        <f>SUM(H153:H153)</f>
        <v>5404.77</v>
      </c>
      <c r="I154" s="412">
        <f>H154</f>
        <v>5404.77</v>
      </c>
    </row>
    <row r="155" spans="1:12" s="278" customFormat="1" ht="15.75">
      <c r="A155" s="497">
        <v>18</v>
      </c>
      <c r="B155" s="495" t="s">
        <v>853</v>
      </c>
      <c r="C155" s="495"/>
      <c r="D155" s="495"/>
      <c r="E155" s="495"/>
      <c r="F155" s="496"/>
      <c r="G155" s="478"/>
      <c r="H155" s="479"/>
      <c r="I155" s="412"/>
    </row>
    <row r="156" spans="1:12" s="278" customFormat="1">
      <c r="A156" s="460" t="s">
        <v>818</v>
      </c>
      <c r="B156" s="21" t="s">
        <v>88</v>
      </c>
      <c r="C156" s="474" t="s">
        <v>771</v>
      </c>
      <c r="D156" s="316" t="s">
        <v>18</v>
      </c>
      <c r="E156" s="285">
        <v>99</v>
      </c>
      <c r="F156" s="454">
        <f>Composição!F236</f>
        <v>31.49</v>
      </c>
      <c r="G156" s="290">
        <f t="shared" ref="G156:G174" si="80">F156*$J$1</f>
        <v>40.57</v>
      </c>
      <c r="H156" s="319">
        <f t="shared" ref="H156:H174" si="81">E156*G156</f>
        <v>4016.43</v>
      </c>
      <c r="I156" s="412"/>
    </row>
    <row r="157" spans="1:12" s="278" customFormat="1" ht="30">
      <c r="A157" s="460" t="s">
        <v>819</v>
      </c>
      <c r="B157" s="21" t="s">
        <v>88</v>
      </c>
      <c r="C157" s="458" t="s">
        <v>773</v>
      </c>
      <c r="D157" s="316" t="s">
        <v>18</v>
      </c>
      <c r="E157" s="285">
        <v>396</v>
      </c>
      <c r="F157" s="454">
        <f>Composição!F248</f>
        <v>16.489999999999998</v>
      </c>
      <c r="G157" s="290">
        <f t="shared" si="80"/>
        <v>21.24</v>
      </c>
      <c r="H157" s="319">
        <f t="shared" si="81"/>
        <v>8411.0400000000009</v>
      </c>
      <c r="I157" s="412"/>
    </row>
    <row r="158" spans="1:12" s="278" customFormat="1" ht="30">
      <c r="A158" s="460" t="s">
        <v>820</v>
      </c>
      <c r="B158" s="21" t="s">
        <v>88</v>
      </c>
      <c r="C158" s="458" t="s">
        <v>774</v>
      </c>
      <c r="D158" s="316" t="s">
        <v>18</v>
      </c>
      <c r="E158" s="285">
        <v>99</v>
      </c>
      <c r="F158" s="454">
        <f>Composição!F260</f>
        <v>553.38</v>
      </c>
      <c r="G158" s="290">
        <f t="shared" si="80"/>
        <v>712.86</v>
      </c>
      <c r="H158" s="319">
        <f t="shared" si="81"/>
        <v>70573.14</v>
      </c>
      <c r="I158" s="412"/>
    </row>
    <row r="159" spans="1:12" s="278" customFormat="1">
      <c r="A159" s="460" t="s">
        <v>821</v>
      </c>
      <c r="B159" s="21" t="s">
        <v>88</v>
      </c>
      <c r="C159" s="474" t="s">
        <v>789</v>
      </c>
      <c r="D159" s="316" t="s">
        <v>18</v>
      </c>
      <c r="E159" s="285">
        <v>99</v>
      </c>
      <c r="F159" s="454">
        <f>Composição!F272</f>
        <v>204.73</v>
      </c>
      <c r="G159" s="290">
        <f t="shared" si="80"/>
        <v>263.73</v>
      </c>
      <c r="H159" s="319">
        <f t="shared" si="81"/>
        <v>26109.27</v>
      </c>
      <c r="I159" s="412"/>
    </row>
    <row r="160" spans="1:12" s="278" customFormat="1">
      <c r="A160" s="460" t="s">
        <v>822</v>
      </c>
      <c r="B160" s="21" t="s">
        <v>88</v>
      </c>
      <c r="C160" s="474" t="s">
        <v>790</v>
      </c>
      <c r="D160" s="316" t="s">
        <v>18</v>
      </c>
      <c r="E160" s="285">
        <v>104</v>
      </c>
      <c r="F160" s="454">
        <f>Composição!F284</f>
        <v>388.92</v>
      </c>
      <c r="G160" s="290">
        <f t="shared" si="80"/>
        <v>501.01</v>
      </c>
      <c r="H160" s="319">
        <f t="shared" si="81"/>
        <v>52105.04</v>
      </c>
      <c r="I160" s="412"/>
    </row>
    <row r="161" spans="1:27" s="278" customFormat="1">
      <c r="A161" s="460" t="s">
        <v>823</v>
      </c>
      <c r="B161" s="21" t="s">
        <v>88</v>
      </c>
      <c r="C161" s="474" t="s">
        <v>791</v>
      </c>
      <c r="D161" s="316" t="s">
        <v>18</v>
      </c>
      <c r="E161" s="285">
        <v>99</v>
      </c>
      <c r="F161" s="454">
        <f>Composição!F296</f>
        <v>71.489999999999995</v>
      </c>
      <c r="G161" s="290">
        <f t="shared" si="80"/>
        <v>92.09</v>
      </c>
      <c r="H161" s="319">
        <f t="shared" si="81"/>
        <v>9116.91</v>
      </c>
      <c r="I161" s="412"/>
    </row>
    <row r="162" spans="1:27" s="278" customFormat="1">
      <c r="A162" s="460" t="s">
        <v>824</v>
      </c>
      <c r="B162" s="21" t="s">
        <v>88</v>
      </c>
      <c r="C162" s="474" t="s">
        <v>792</v>
      </c>
      <c r="D162" s="316" t="s">
        <v>18</v>
      </c>
      <c r="E162" s="285">
        <v>49</v>
      </c>
      <c r="F162" s="454">
        <f>Composição!F308</f>
        <v>919.46</v>
      </c>
      <c r="G162" s="290">
        <f t="shared" si="80"/>
        <v>1184.45</v>
      </c>
      <c r="H162" s="319">
        <f t="shared" si="81"/>
        <v>58038.05</v>
      </c>
      <c r="I162" s="412"/>
    </row>
    <row r="163" spans="1:27" s="278" customFormat="1">
      <c r="A163" s="460" t="s">
        <v>825</v>
      </c>
      <c r="B163" s="21" t="s">
        <v>88</v>
      </c>
      <c r="C163" s="474" t="s">
        <v>793</v>
      </c>
      <c r="D163" s="316" t="s">
        <v>18</v>
      </c>
      <c r="E163" s="285">
        <v>21</v>
      </c>
      <c r="F163" s="454">
        <f>Composição!F320</f>
        <v>519.46</v>
      </c>
      <c r="G163" s="290">
        <f t="shared" si="80"/>
        <v>669.17</v>
      </c>
      <c r="H163" s="319">
        <f t="shared" si="81"/>
        <v>14052.57</v>
      </c>
      <c r="I163" s="412"/>
    </row>
    <row r="164" spans="1:27" s="278" customFormat="1">
      <c r="A164" s="460" t="s">
        <v>826</v>
      </c>
      <c r="B164" s="21" t="s">
        <v>88</v>
      </c>
      <c r="C164" s="474" t="s">
        <v>794</v>
      </c>
      <c r="D164" s="316" t="s">
        <v>18</v>
      </c>
      <c r="E164" s="285">
        <v>28</v>
      </c>
      <c r="F164" s="454">
        <f>Composição!F332</f>
        <v>469.46</v>
      </c>
      <c r="G164" s="290">
        <f t="shared" si="80"/>
        <v>604.76</v>
      </c>
      <c r="H164" s="319">
        <f t="shared" si="81"/>
        <v>16933.28</v>
      </c>
      <c r="I164" s="412"/>
    </row>
    <row r="165" spans="1:27" s="278" customFormat="1">
      <c r="A165" s="460" t="s">
        <v>827</v>
      </c>
      <c r="B165" s="21" t="s">
        <v>88</v>
      </c>
      <c r="C165" s="474" t="s">
        <v>795</v>
      </c>
      <c r="D165" s="316" t="s">
        <v>18</v>
      </c>
      <c r="E165" s="285">
        <v>21</v>
      </c>
      <c r="F165" s="454">
        <f>Composição!F343</f>
        <v>919.46</v>
      </c>
      <c r="G165" s="290">
        <f t="shared" si="80"/>
        <v>1184.45</v>
      </c>
      <c r="H165" s="319">
        <f t="shared" si="81"/>
        <v>24873.45</v>
      </c>
      <c r="I165" s="412"/>
    </row>
    <row r="166" spans="1:27" s="278" customFormat="1">
      <c r="A166" s="460" t="s">
        <v>828</v>
      </c>
      <c r="B166" s="21" t="s">
        <v>88</v>
      </c>
      <c r="C166" s="474" t="s">
        <v>796</v>
      </c>
      <c r="D166" s="316" t="s">
        <v>18</v>
      </c>
      <c r="E166" s="285">
        <v>109</v>
      </c>
      <c r="F166" s="454">
        <f>Composição!F355</f>
        <v>144.46</v>
      </c>
      <c r="G166" s="290">
        <f t="shared" si="80"/>
        <v>186.09</v>
      </c>
      <c r="H166" s="319">
        <f t="shared" si="81"/>
        <v>20283.810000000001</v>
      </c>
      <c r="I166" s="412"/>
    </row>
    <row r="167" spans="1:27" s="278" customFormat="1">
      <c r="A167" s="460" t="s">
        <v>829</v>
      </c>
      <c r="B167" s="21" t="s">
        <v>88</v>
      </c>
      <c r="C167" s="474" t="s">
        <v>797</v>
      </c>
      <c r="D167" s="316" t="s">
        <v>18</v>
      </c>
      <c r="E167" s="285">
        <v>99</v>
      </c>
      <c r="F167" s="454">
        <f>Composição!F367</f>
        <v>94.46</v>
      </c>
      <c r="G167" s="290">
        <f t="shared" si="80"/>
        <v>121.68</v>
      </c>
      <c r="H167" s="319">
        <f t="shared" si="81"/>
        <v>12046.32</v>
      </c>
      <c r="I167" s="412"/>
    </row>
    <row r="168" spans="1:27" s="278" customFormat="1" ht="30">
      <c r="A168" s="460" t="s">
        <v>830</v>
      </c>
      <c r="B168" s="21" t="s">
        <v>88</v>
      </c>
      <c r="C168" s="458" t="s">
        <v>798</v>
      </c>
      <c r="D168" s="316" t="s">
        <v>18</v>
      </c>
      <c r="E168" s="285">
        <v>1</v>
      </c>
      <c r="F168" s="454">
        <f>Composição!F380</f>
        <v>3068.16</v>
      </c>
      <c r="G168" s="290">
        <f t="shared" ref="G168" si="82">F168*$J$1</f>
        <v>3952.4</v>
      </c>
      <c r="H168" s="319">
        <f t="shared" ref="H168" si="83">E168*G168</f>
        <v>3952.4</v>
      </c>
      <c r="I168" s="412"/>
    </row>
    <row r="169" spans="1:27" s="278" customFormat="1">
      <c r="A169" s="460" t="s">
        <v>858</v>
      </c>
      <c r="B169" s="21" t="s">
        <v>88</v>
      </c>
      <c r="C169" s="474" t="s">
        <v>857</v>
      </c>
      <c r="D169" s="316" t="s">
        <v>258</v>
      </c>
      <c r="E169" s="285">
        <v>109</v>
      </c>
      <c r="F169" s="454">
        <f>Composição!F392</f>
        <v>308.45999999999998</v>
      </c>
      <c r="G169" s="290">
        <f t="shared" si="80"/>
        <v>397.36</v>
      </c>
      <c r="H169" s="319">
        <f t="shared" si="81"/>
        <v>43312.24</v>
      </c>
      <c r="I169" s="412"/>
    </row>
    <row r="170" spans="1:27" s="278" customFormat="1">
      <c r="A170" s="460" t="s">
        <v>859</v>
      </c>
      <c r="B170" s="21" t="s">
        <v>88</v>
      </c>
      <c r="C170" s="458" t="s">
        <v>864</v>
      </c>
      <c r="D170" s="316" t="s">
        <v>865</v>
      </c>
      <c r="E170" s="285">
        <v>1</v>
      </c>
      <c r="F170" s="454">
        <f>Composição!F404</f>
        <v>53824.78</v>
      </c>
      <c r="G170" s="290">
        <f t="shared" ref="G170" si="84">F170*$J$1</f>
        <v>69337.08</v>
      </c>
      <c r="H170" s="319">
        <f t="shared" ref="H170" si="85">E170*G170</f>
        <v>69337.08</v>
      </c>
      <c r="I170" s="412"/>
    </row>
    <row r="171" spans="1:27" s="278" customFormat="1">
      <c r="A171" s="460" t="s">
        <v>860</v>
      </c>
      <c r="B171" s="21" t="s">
        <v>88</v>
      </c>
      <c r="C171" s="458" t="s">
        <v>866</v>
      </c>
      <c r="D171" s="316" t="s">
        <v>865</v>
      </c>
      <c r="E171" s="285">
        <v>1</v>
      </c>
      <c r="F171" s="454">
        <f>Composição!F416</f>
        <v>14636.3</v>
      </c>
      <c r="G171" s="290">
        <f t="shared" si="80"/>
        <v>18854.48</v>
      </c>
      <c r="H171" s="319">
        <f t="shared" si="81"/>
        <v>18854.48</v>
      </c>
      <c r="I171" s="412"/>
    </row>
    <row r="172" spans="1:27" s="278" customFormat="1">
      <c r="A172" s="460" t="s">
        <v>861</v>
      </c>
      <c r="B172" s="21" t="s">
        <v>88</v>
      </c>
      <c r="C172" s="458" t="s">
        <v>867</v>
      </c>
      <c r="D172" s="316" t="s">
        <v>865</v>
      </c>
      <c r="E172" s="285">
        <v>1</v>
      </c>
      <c r="F172" s="454">
        <f>Composição!F428</f>
        <v>127685.22</v>
      </c>
      <c r="G172" s="290">
        <f t="shared" ref="G172:G173" si="86">F172*$J$1</f>
        <v>164484.1</v>
      </c>
      <c r="H172" s="319">
        <f t="shared" ref="H172:H173" si="87">E172*G172</f>
        <v>164484.1</v>
      </c>
      <c r="I172" s="412"/>
    </row>
    <row r="173" spans="1:27" s="278" customFormat="1">
      <c r="A173" s="460" t="s">
        <v>862</v>
      </c>
      <c r="B173" s="21" t="s">
        <v>88</v>
      </c>
      <c r="C173" s="458" t="s">
        <v>868</v>
      </c>
      <c r="D173" s="316" t="s">
        <v>258</v>
      </c>
      <c r="E173" s="285">
        <v>1</v>
      </c>
      <c r="F173" s="454">
        <f>Composição!F440</f>
        <v>9357.15</v>
      </c>
      <c r="G173" s="290">
        <f t="shared" si="86"/>
        <v>12053.88</v>
      </c>
      <c r="H173" s="319">
        <f t="shared" si="87"/>
        <v>12053.88</v>
      </c>
      <c r="I173" s="412"/>
    </row>
    <row r="174" spans="1:27" s="278" customFormat="1">
      <c r="A174" s="460" t="s">
        <v>863</v>
      </c>
      <c r="B174" s="21" t="s">
        <v>88</v>
      </c>
      <c r="C174" s="458" t="s">
        <v>869</v>
      </c>
      <c r="D174" s="316" t="s">
        <v>258</v>
      </c>
      <c r="E174" s="285">
        <v>1</v>
      </c>
      <c r="F174" s="454">
        <f>Composição!F448</f>
        <v>2625.86</v>
      </c>
      <c r="G174" s="290">
        <f t="shared" si="80"/>
        <v>3382.63</v>
      </c>
      <c r="H174" s="319">
        <f t="shared" si="81"/>
        <v>3382.63</v>
      </c>
      <c r="I174" s="412"/>
    </row>
    <row r="175" spans="1:27" s="278" customFormat="1" ht="15.75">
      <c r="A175" s="544" t="s">
        <v>831</v>
      </c>
      <c r="B175" s="544"/>
      <c r="C175" s="544"/>
      <c r="D175" s="544"/>
      <c r="E175" s="544"/>
      <c r="F175" s="544"/>
      <c r="G175" s="544"/>
      <c r="H175" s="314">
        <f>SUM(H156:H174)</f>
        <v>631936.12</v>
      </c>
      <c r="I175" s="412"/>
    </row>
    <row r="176" spans="1:27" s="13" customFormat="1">
      <c r="A176" s="548" t="s">
        <v>19</v>
      </c>
      <c r="B176" s="548"/>
      <c r="C176" s="548"/>
      <c r="D176" s="548"/>
      <c r="E176" s="548"/>
      <c r="F176" s="548"/>
      <c r="G176" s="548"/>
      <c r="H176" s="484">
        <f>SUM(H175,H154,H151,H147,H142,H136,H126,H123,H119,H112,H105,H100,H92,H82,H46,H40,H36,H24)</f>
        <v>1120349.9099999999</v>
      </c>
      <c r="I176" s="411" t="e">
        <f>SUM(I154,#REF!,#REF!,I151,#REF!,I147,#REF!,I136,I126,I123,I119,I112,I105,I100,#REF!,I82,I46,I40,I24)</f>
        <v>#REF!</v>
      </c>
      <c r="J176" s="13">
        <v>794512.49</v>
      </c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</row>
    <row r="177" spans="1:27" s="13" customFormat="1">
      <c r="A177" s="315"/>
      <c r="B177" s="1"/>
      <c r="C177" s="289"/>
      <c r="F177" s="20"/>
      <c r="G177" s="281"/>
      <c r="J177" s="2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</row>
    <row r="178" spans="1:27" s="13" customFormat="1">
      <c r="A178" s="315"/>
      <c r="B178" s="315"/>
      <c r="C178" s="289"/>
      <c r="F178" s="20"/>
      <c r="G178" s="281"/>
      <c r="I178" s="256">
        <f>H176-J176</f>
        <v>325837.42</v>
      </c>
      <c r="J178" s="2"/>
    </row>
    <row r="179" spans="1:27" s="13" customFormat="1">
      <c r="A179" s="315"/>
      <c r="B179" s="315"/>
      <c r="C179" s="289"/>
      <c r="F179" s="20"/>
      <c r="G179" s="281"/>
      <c r="I179" s="441">
        <v>669160.80000000005</v>
      </c>
      <c r="J179" s="2"/>
    </row>
    <row r="180" spans="1:27" s="13" customFormat="1">
      <c r="A180" s="315"/>
      <c r="B180" s="1"/>
      <c r="C180" s="289"/>
      <c r="F180" s="20"/>
      <c r="G180" s="281"/>
      <c r="J180" s="2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</row>
    <row r="181" spans="1:27" s="13" customFormat="1">
      <c r="A181" s="315"/>
      <c r="B181" s="1"/>
      <c r="C181" s="289"/>
      <c r="F181" s="20"/>
      <c r="G181" s="281"/>
      <c r="I181" s="256"/>
      <c r="J181" s="2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</row>
    <row r="182" spans="1:27" s="13" customFormat="1">
      <c r="A182" s="315"/>
      <c r="B182" s="1"/>
      <c r="C182" s="289"/>
      <c r="F182" s="455"/>
      <c r="G182" s="281"/>
      <c r="J182" s="2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</row>
    <row r="183" spans="1:27">
      <c r="D183" s="13"/>
      <c r="I183" s="411">
        <f>H176-'[3]Reprogramação 2019'!$H$322</f>
        <v>596835.47</v>
      </c>
    </row>
    <row r="184" spans="1:27">
      <c r="D184" s="13"/>
      <c r="I184" s="257"/>
    </row>
    <row r="185" spans="1:27">
      <c r="D185" s="13"/>
      <c r="I185" s="411" t="e">
        <f>H154+#REF!</f>
        <v>#REF!</v>
      </c>
    </row>
    <row r="186" spans="1:27">
      <c r="D186" s="13"/>
      <c r="I186" s="411" t="e">
        <f>I183-I185</f>
        <v>#REF!</v>
      </c>
    </row>
    <row r="187" spans="1:27">
      <c r="D187" s="13"/>
    </row>
    <row r="188" spans="1:27">
      <c r="D188" s="13"/>
      <c r="E188" s="256"/>
      <c r="H188" s="256"/>
    </row>
    <row r="189" spans="1:27">
      <c r="D189" s="13"/>
    </row>
    <row r="190" spans="1:27">
      <c r="D190" s="13"/>
    </row>
    <row r="191" spans="1:27">
      <c r="A191" s="254"/>
      <c r="B191" s="254"/>
      <c r="C191" s="547"/>
      <c r="D191" s="547"/>
      <c r="E191" s="257"/>
      <c r="F191" s="282"/>
      <c r="G191" s="282"/>
      <c r="H191" s="257"/>
    </row>
  </sheetData>
  <mergeCells count="28">
    <mergeCell ref="A126:G126"/>
    <mergeCell ref="A136:G136"/>
    <mergeCell ref="A112:G112"/>
    <mergeCell ref="A6:H6"/>
    <mergeCell ref="A12:H12"/>
    <mergeCell ref="A10:H10"/>
    <mergeCell ref="A8:H8"/>
    <mergeCell ref="A16:AA16"/>
    <mergeCell ref="A7:H7"/>
    <mergeCell ref="A13:H13"/>
    <mergeCell ref="A119:G119"/>
    <mergeCell ref="A100:G100"/>
    <mergeCell ref="A105:G105"/>
    <mergeCell ref="A92:G92"/>
    <mergeCell ref="A123:G123"/>
    <mergeCell ref="A24:G24"/>
    <mergeCell ref="C191:D191"/>
    <mergeCell ref="A142:G142"/>
    <mergeCell ref="A176:G176"/>
    <mergeCell ref="A151:G151"/>
    <mergeCell ref="A154:G154"/>
    <mergeCell ref="A175:G175"/>
    <mergeCell ref="A147:G147"/>
    <mergeCell ref="A40:G40"/>
    <mergeCell ref="A46:G46"/>
    <mergeCell ref="A82:G82"/>
    <mergeCell ref="A17:AA17"/>
    <mergeCell ref="A36:G36"/>
  </mergeCells>
  <printOptions horizontalCentered="1"/>
  <pageMargins left="0.11811023622047245" right="0.11811023622047245" top="0.27559055118110237" bottom="0.43307086614173229" header="0.19685039370078741" footer="0.19685039370078741"/>
  <pageSetup paperSize="9" scale="55" orientation="portrait" r:id="rId1"/>
  <headerFooter alignWithMargins="0">
    <oddFooter>Página &amp;P de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48"/>
  <sheetViews>
    <sheetView tabSelected="1" view="pageBreakPreview" topLeftCell="A430" zoomScale="90" zoomScaleNormal="100" zoomScaleSheetLayoutView="90" workbookViewId="0">
      <selection activeCell="D437" sqref="D437"/>
    </sheetView>
  </sheetViews>
  <sheetFormatPr defaultRowHeight="15.75"/>
  <cols>
    <col min="1" max="1" width="21.85546875" style="241" customWidth="1"/>
    <col min="2" max="2" width="75" style="278" customWidth="1"/>
    <col min="3" max="3" width="9.140625" style="278"/>
    <col min="4" max="4" width="13.140625" style="278" customWidth="1"/>
    <col min="5" max="5" width="14.85546875" style="278" customWidth="1"/>
    <col min="6" max="6" width="15" style="278" bestFit="1" customWidth="1"/>
    <col min="7" max="7" width="18.28515625" customWidth="1"/>
    <col min="8" max="8" width="13.85546875" bestFit="1" customWidth="1"/>
  </cols>
  <sheetData>
    <row r="1" spans="1:24" s="295" customFormat="1">
      <c r="A1" s="339"/>
      <c r="B1" s="294"/>
      <c r="C1" s="294"/>
      <c r="D1" s="294"/>
      <c r="E1" s="294"/>
      <c r="F1" s="294"/>
      <c r="G1" s="294"/>
    </row>
    <row r="2" spans="1:24" s="295" customFormat="1">
      <c r="A2" s="339"/>
      <c r="B2" s="294"/>
      <c r="C2" s="294"/>
      <c r="D2" s="294"/>
      <c r="E2" s="294"/>
      <c r="F2" s="294"/>
      <c r="G2" s="294"/>
    </row>
    <row r="3" spans="1:24" s="295" customFormat="1">
      <c r="A3" s="339"/>
      <c r="B3" s="294"/>
      <c r="C3" s="294"/>
      <c r="D3" s="294"/>
      <c r="E3" s="294"/>
      <c r="F3" s="294"/>
      <c r="G3" s="294"/>
    </row>
    <row r="4" spans="1:24" s="295" customFormat="1">
      <c r="A4" s="339"/>
      <c r="B4" s="294"/>
      <c r="C4" s="294"/>
      <c r="D4" s="294"/>
      <c r="E4" s="294"/>
      <c r="F4" s="294"/>
      <c r="G4" s="294"/>
    </row>
    <row r="5" spans="1:24" s="295" customFormat="1" ht="15.75" customHeight="1">
      <c r="A5" s="339"/>
      <c r="B5" s="294"/>
      <c r="C5" s="294"/>
      <c r="D5" s="294"/>
      <c r="E5" s="294"/>
      <c r="F5" s="294"/>
      <c r="G5" s="294"/>
    </row>
    <row r="6" spans="1:24" s="295" customFormat="1" ht="15.75" customHeight="1">
      <c r="A6" s="339"/>
      <c r="B6" s="294"/>
      <c r="C6" s="294"/>
      <c r="D6" s="294"/>
      <c r="E6" s="294"/>
      <c r="F6" s="294"/>
      <c r="G6" s="294"/>
    </row>
    <row r="7" spans="1:24" s="295" customFormat="1">
      <c r="A7" s="339"/>
      <c r="B7" s="294"/>
      <c r="C7" s="294"/>
      <c r="D7" s="294"/>
      <c r="E7" s="294"/>
      <c r="F7" s="294"/>
      <c r="G7" s="294"/>
    </row>
    <row r="8" spans="1:24" s="295" customFormat="1">
      <c r="A8" s="577" t="s">
        <v>0</v>
      </c>
      <c r="B8" s="577"/>
      <c r="C8" s="577"/>
      <c r="D8" s="577"/>
      <c r="E8" s="577"/>
      <c r="F8" s="577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</row>
    <row r="9" spans="1:24" s="295" customFormat="1">
      <c r="A9" s="578" t="s">
        <v>1</v>
      </c>
      <c r="B9" s="578"/>
      <c r="C9" s="578"/>
      <c r="D9" s="578"/>
      <c r="E9" s="578"/>
      <c r="F9" s="578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</row>
    <row r="10" spans="1:24" s="295" customFormat="1">
      <c r="A10" s="577" t="s">
        <v>437</v>
      </c>
      <c r="B10" s="577"/>
      <c r="C10" s="577"/>
      <c r="D10" s="577"/>
      <c r="E10" s="577"/>
      <c r="F10" s="577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</row>
    <row r="11" spans="1:24" s="295" customFormat="1">
      <c r="A11" s="465"/>
      <c r="B11" s="465"/>
      <c r="C11" s="465"/>
      <c r="D11" s="465"/>
      <c r="E11" s="465"/>
      <c r="F11" s="465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</row>
    <row r="12" spans="1:24" s="295" customFormat="1" ht="14.25" customHeight="1">
      <c r="A12" s="580" t="str">
        <f>'ORÇAMENTO - CASA DE FORÇA'!A12:H12</f>
        <v>CONSTRUÇÃO DE CASA DE FORÇA E FORNECIMENTO E INSTALAÇÃO DE BALIZAMENTO DO AEROPORTO REGIONAL DE TUCURUÍ</v>
      </c>
      <c r="B12" s="580"/>
      <c r="C12" s="580"/>
      <c r="D12" s="580"/>
      <c r="E12" s="580"/>
      <c r="F12" s="580"/>
    </row>
    <row r="13" spans="1:24" s="295" customFormat="1" ht="14.25" customHeight="1">
      <c r="A13" s="409"/>
      <c r="B13" s="338"/>
      <c r="C13" s="338"/>
      <c r="D13" s="338"/>
      <c r="E13" s="338"/>
      <c r="F13" s="338"/>
    </row>
    <row r="14" spans="1:24" s="295" customFormat="1">
      <c r="A14" s="579">
        <f>'ORÇAMENTO - CASA DE FORÇA'!A13:H13</f>
        <v>0</v>
      </c>
      <c r="B14" s="579"/>
      <c r="C14" s="579"/>
      <c r="D14" s="579"/>
      <c r="E14" s="579"/>
      <c r="F14" s="579"/>
      <c r="G14" s="334"/>
      <c r="H14" s="334"/>
      <c r="I14" s="334"/>
      <c r="J14" s="334"/>
      <c r="K14" s="334"/>
      <c r="L14" s="334"/>
      <c r="M14" s="334"/>
      <c r="N14" s="334"/>
      <c r="O14" s="334"/>
      <c r="P14" s="334"/>
      <c r="Q14" s="334"/>
      <c r="R14" s="334"/>
      <c r="S14" s="334"/>
      <c r="T14" s="334"/>
      <c r="U14" s="334"/>
      <c r="V14" s="334"/>
      <c r="W14" s="334"/>
      <c r="X14" s="334"/>
    </row>
    <row r="15" spans="1:24" s="295" customFormat="1" ht="8.1" customHeight="1"/>
    <row r="16" spans="1:24" ht="20.25" customHeight="1">
      <c r="A16" s="581" t="s">
        <v>550</v>
      </c>
      <c r="B16" s="581"/>
      <c r="C16" s="581"/>
      <c r="D16" s="581"/>
      <c r="E16" s="581"/>
      <c r="F16" s="581"/>
    </row>
    <row r="17" spans="1:27" ht="14.25" customHeight="1">
      <c r="A17" s="340"/>
      <c r="B17" s="337"/>
      <c r="C17" s="337"/>
      <c r="D17" s="337"/>
      <c r="E17" s="337"/>
      <c r="F17" s="337"/>
    </row>
    <row r="18" spans="1:27" ht="18" customHeight="1">
      <c r="A18" s="391" t="s">
        <v>502</v>
      </c>
      <c r="B18" s="392"/>
      <c r="C18" s="393"/>
      <c r="D18" s="392"/>
      <c r="E18" s="403"/>
      <c r="F18" s="394"/>
      <c r="G18" s="394"/>
      <c r="H18" s="403"/>
      <c r="I18" s="321"/>
      <c r="J18" s="2"/>
      <c r="K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</row>
    <row r="19" spans="1:27" ht="15" customHeight="1">
      <c r="A19" s="485" t="s">
        <v>833</v>
      </c>
      <c r="B19" s="485"/>
      <c r="C19" s="485"/>
      <c r="D19" s="485"/>
      <c r="E19" s="485"/>
      <c r="F19" s="485"/>
      <c r="G19" s="485"/>
      <c r="H19" s="485"/>
      <c r="I19" s="485"/>
      <c r="J19" s="485"/>
      <c r="K19" s="485"/>
      <c r="L19" s="485"/>
      <c r="M19" s="485"/>
      <c r="N19" s="485"/>
      <c r="O19" s="485"/>
      <c r="P19" s="485"/>
      <c r="Q19" s="485"/>
      <c r="R19" s="485"/>
      <c r="S19" s="485"/>
      <c r="T19" s="485"/>
      <c r="U19" s="485"/>
      <c r="V19" s="485"/>
      <c r="W19" s="485"/>
      <c r="X19" s="485"/>
      <c r="Y19" s="485"/>
      <c r="Z19" s="485"/>
      <c r="AA19" s="485"/>
    </row>
    <row r="20" spans="1:27" ht="19.5" customHeight="1">
      <c r="A20" s="486" t="s">
        <v>540</v>
      </c>
      <c r="B20" s="487"/>
      <c r="C20" s="487"/>
      <c r="D20" s="487"/>
      <c r="E20" s="487"/>
      <c r="F20" s="487"/>
      <c r="G20" s="487"/>
      <c r="H20" s="487"/>
      <c r="I20" s="487"/>
      <c r="J20" s="487"/>
      <c r="K20" s="487"/>
      <c r="L20" s="487"/>
      <c r="M20" s="487"/>
      <c r="N20" s="487"/>
      <c r="O20" s="487"/>
      <c r="P20" s="487"/>
      <c r="Q20" s="487"/>
      <c r="R20" s="487"/>
      <c r="S20" s="487"/>
      <c r="T20" s="487"/>
      <c r="U20" s="487"/>
      <c r="V20" s="487"/>
      <c r="W20" s="487"/>
      <c r="X20" s="487"/>
      <c r="Y20" s="487"/>
      <c r="Z20" s="487"/>
      <c r="AA20" s="487"/>
    </row>
    <row r="21" spans="1:27" ht="15.75" customHeight="1"/>
    <row r="22" spans="1:27" s="277" customFormat="1">
      <c r="A22" s="341" t="s">
        <v>2</v>
      </c>
      <c r="B22" s="353" t="s">
        <v>62</v>
      </c>
      <c r="C22" s="353" t="s">
        <v>4</v>
      </c>
      <c r="D22" s="353" t="s">
        <v>112</v>
      </c>
      <c r="E22" s="353" t="s">
        <v>64</v>
      </c>
      <c r="F22" s="353" t="s">
        <v>65</v>
      </c>
    </row>
    <row r="23" spans="1:27" s="277" customFormat="1">
      <c r="A23" s="558" t="s">
        <v>48</v>
      </c>
      <c r="B23" s="558"/>
      <c r="C23" s="558"/>
      <c r="D23" s="558"/>
      <c r="E23" s="558"/>
      <c r="F23" s="558"/>
    </row>
    <row r="24" spans="1:27" s="277" customFormat="1">
      <c r="A24" s="489" t="s">
        <v>7</v>
      </c>
      <c r="B24" s="583" t="s">
        <v>429</v>
      </c>
      <c r="C24" s="583"/>
      <c r="D24" s="583"/>
      <c r="E24" s="583"/>
      <c r="F24" s="583"/>
    </row>
    <row r="25" spans="1:27" ht="31.5">
      <c r="A25" s="342" t="s">
        <v>430</v>
      </c>
      <c r="B25" s="584" t="s">
        <v>66</v>
      </c>
      <c r="C25" s="584"/>
      <c r="D25" s="584"/>
      <c r="E25" s="584"/>
      <c r="F25" s="584"/>
    </row>
    <row r="26" spans="1:27">
      <c r="A26" s="343" t="s">
        <v>508</v>
      </c>
      <c r="B26" s="357" t="s">
        <v>509</v>
      </c>
      <c r="C26" s="413" t="s">
        <v>69</v>
      </c>
      <c r="D26" s="414">
        <v>24</v>
      </c>
      <c r="E26" s="401">
        <v>19.04</v>
      </c>
      <c r="F26" s="415">
        <f>ROUND(D26*E26,2)</f>
        <v>456.96</v>
      </c>
    </row>
    <row r="27" spans="1:27">
      <c r="A27" s="51" t="s">
        <v>510</v>
      </c>
      <c r="B27" s="357" t="s">
        <v>511</v>
      </c>
      <c r="C27" s="413" t="s">
        <v>69</v>
      </c>
      <c r="D27" s="414">
        <v>24</v>
      </c>
      <c r="E27" s="401">
        <v>14.99</v>
      </c>
      <c r="F27" s="415">
        <f>ROUND(D27*E27,2)</f>
        <v>359.76</v>
      </c>
    </row>
    <row r="28" spans="1:27">
      <c r="A28" s="556" t="s">
        <v>72</v>
      </c>
      <c r="B28" s="556"/>
      <c r="C28" s="556"/>
      <c r="D28" s="556"/>
      <c r="E28" s="556"/>
      <c r="F28" s="416">
        <f>SUM(F26:F27)</f>
        <v>816.72</v>
      </c>
    </row>
    <row r="29" spans="1:27">
      <c r="A29" s="582" t="s">
        <v>239</v>
      </c>
      <c r="B29" s="582"/>
      <c r="C29" s="582"/>
      <c r="D29" s="582"/>
      <c r="E29" s="582"/>
      <c r="F29" s="416">
        <f>SUM(F28:F28)</f>
        <v>816.72</v>
      </c>
    </row>
    <row r="30" spans="1:27">
      <c r="A30" s="434"/>
      <c r="B30" s="583" t="s">
        <v>74</v>
      </c>
      <c r="C30" s="583"/>
      <c r="D30" s="583"/>
      <c r="E30" s="583"/>
      <c r="F30" s="583"/>
    </row>
    <row r="31" spans="1:27" ht="47.25">
      <c r="A31" s="51" t="s">
        <v>438</v>
      </c>
      <c r="B31" s="417" t="s">
        <v>431</v>
      </c>
      <c r="C31" s="413" t="s">
        <v>17</v>
      </c>
      <c r="D31" s="414">
        <v>27</v>
      </c>
      <c r="E31" s="401">
        <v>7.29</v>
      </c>
      <c r="F31" s="415">
        <f>ROUND(D31*E31,2)</f>
        <v>196.83</v>
      </c>
    </row>
    <row r="32" spans="1:27">
      <c r="A32" s="408" t="s">
        <v>439</v>
      </c>
      <c r="B32" s="418" t="s">
        <v>432</v>
      </c>
      <c r="C32" s="413" t="s">
        <v>4</v>
      </c>
      <c r="D32" s="414">
        <v>1</v>
      </c>
      <c r="E32" s="401">
        <v>161.77000000000001</v>
      </c>
      <c r="F32" s="415">
        <f>ROUND(D32*E32,2)</f>
        <v>161.77000000000001</v>
      </c>
    </row>
    <row r="33" spans="1:7">
      <c r="A33" s="435" t="s">
        <v>178</v>
      </c>
      <c r="B33" s="418" t="s">
        <v>541</v>
      </c>
      <c r="C33" s="413" t="s">
        <v>4</v>
      </c>
      <c r="D33" s="414">
        <v>1</v>
      </c>
      <c r="E33" s="401">
        <v>308</v>
      </c>
      <c r="F33" s="415">
        <f>ROUND(D33*E33,2)</f>
        <v>308</v>
      </c>
    </row>
    <row r="34" spans="1:7">
      <c r="A34" s="582" t="s">
        <v>244</v>
      </c>
      <c r="B34" s="582"/>
      <c r="C34" s="582"/>
      <c r="D34" s="582"/>
      <c r="E34" s="582"/>
      <c r="F34" s="416">
        <f>SUM(F31:F33)</f>
        <v>666.6</v>
      </c>
    </row>
    <row r="35" spans="1:7">
      <c r="A35" s="582" t="s">
        <v>83</v>
      </c>
      <c r="B35" s="582"/>
      <c r="C35" s="582"/>
      <c r="D35" s="582"/>
      <c r="E35" s="582"/>
      <c r="F35" s="416">
        <f>SUM(F29+F34)</f>
        <v>1483.32</v>
      </c>
    </row>
    <row r="36" spans="1:7">
      <c r="A36" s="582" t="s">
        <v>84</v>
      </c>
      <c r="B36" s="582"/>
      <c r="C36" s="582"/>
      <c r="D36" s="582"/>
      <c r="E36" s="582"/>
      <c r="F36" s="456">
        <f>F35</f>
        <v>1483.32</v>
      </c>
      <c r="G36" t="s">
        <v>575</v>
      </c>
    </row>
    <row r="37" spans="1:7" ht="24" customHeight="1">
      <c r="A37" s="558">
        <f>'ORÇAMENTO - CASA DE FORÇA'!A47:D47</f>
        <v>5</v>
      </c>
      <c r="B37" s="558"/>
      <c r="C37" s="558"/>
      <c r="D37" s="558"/>
      <c r="E37" s="558"/>
      <c r="F37" s="558"/>
    </row>
    <row r="38" spans="1:7" ht="24" customHeight="1">
      <c r="A38" s="341" t="s">
        <v>2</v>
      </c>
      <c r="B38" s="353" t="s">
        <v>62</v>
      </c>
      <c r="C38" s="353" t="s">
        <v>4</v>
      </c>
      <c r="D38" s="353" t="s">
        <v>63</v>
      </c>
      <c r="E38" s="353" t="s">
        <v>64</v>
      </c>
      <c r="F38" s="353" t="s">
        <v>65</v>
      </c>
    </row>
    <row r="39" spans="1:7" ht="24" customHeight="1">
      <c r="A39" s="488" t="str">
        <f>'ORÇAMENTO - CASA DE FORÇA'!A71</f>
        <v>5.24</v>
      </c>
      <c r="B39" s="557" t="str">
        <f>'ORÇAMENTO - CASA DE FORÇA'!C71</f>
        <v>Fornecimento e instalação de refletor retangular LED 30w/220v</v>
      </c>
      <c r="C39" s="557"/>
      <c r="D39" s="557"/>
      <c r="E39" s="557"/>
      <c r="F39" s="557"/>
    </row>
    <row r="40" spans="1:7" ht="24" customHeight="1">
      <c r="A40" s="344"/>
      <c r="B40" s="555" t="s">
        <v>66</v>
      </c>
      <c r="C40" s="555"/>
      <c r="D40" s="555"/>
      <c r="E40" s="555"/>
      <c r="F40" s="555"/>
    </row>
    <row r="41" spans="1:7" ht="24" customHeight="1">
      <c r="A41" s="398">
        <v>88264</v>
      </c>
      <c r="B41" s="38" t="s">
        <v>509</v>
      </c>
      <c r="C41" s="359" t="s">
        <v>69</v>
      </c>
      <c r="D41" s="399">
        <v>1</v>
      </c>
      <c r="E41" s="419">
        <v>19.04</v>
      </c>
      <c r="F41" s="397">
        <f>ROUND(D41*E41,2)</f>
        <v>19.04</v>
      </c>
    </row>
    <row r="42" spans="1:7" ht="24" customHeight="1">
      <c r="A42" s="398">
        <v>88247</v>
      </c>
      <c r="B42" s="38" t="s">
        <v>511</v>
      </c>
      <c r="C42" s="359" t="s">
        <v>69</v>
      </c>
      <c r="D42" s="399">
        <v>1</v>
      </c>
      <c r="E42" s="419">
        <v>14.99</v>
      </c>
      <c r="F42" s="397">
        <f>ROUND(D42*E42,2)</f>
        <v>14.99</v>
      </c>
    </row>
    <row r="43" spans="1:7" ht="24" customHeight="1">
      <c r="A43" s="554" t="s">
        <v>72</v>
      </c>
      <c r="B43" s="554"/>
      <c r="C43" s="554"/>
      <c r="D43" s="554"/>
      <c r="E43" s="554"/>
      <c r="F43" s="420">
        <f>SUM(F41:F42)</f>
        <v>34.03</v>
      </c>
    </row>
    <row r="44" spans="1:7" ht="24" customHeight="1">
      <c r="A44" s="556" t="s">
        <v>73</v>
      </c>
      <c r="B44" s="556"/>
      <c r="C44" s="556"/>
      <c r="D44" s="556"/>
      <c r="E44" s="556"/>
      <c r="F44" s="420">
        <f>SUM(F43:F43)</f>
        <v>34.03</v>
      </c>
    </row>
    <row r="45" spans="1:7" ht="24" customHeight="1">
      <c r="A45" s="406"/>
      <c r="B45" s="555" t="s">
        <v>74</v>
      </c>
      <c r="C45" s="555"/>
      <c r="D45" s="555"/>
      <c r="E45" s="555"/>
      <c r="F45" s="555"/>
    </row>
    <row r="46" spans="1:7" ht="24" customHeight="1">
      <c r="A46" s="345">
        <v>39390</v>
      </c>
      <c r="B46" s="362" t="s">
        <v>654</v>
      </c>
      <c r="C46" s="359" t="s">
        <v>18</v>
      </c>
      <c r="D46" s="399">
        <v>1</v>
      </c>
      <c r="E46" s="397">
        <v>47.55</v>
      </c>
      <c r="F46" s="397">
        <f>ROUND(D46*E46,2)</f>
        <v>47.55</v>
      </c>
    </row>
    <row r="47" spans="1:7" ht="24" customHeight="1">
      <c r="A47" s="556" t="s">
        <v>82</v>
      </c>
      <c r="B47" s="556"/>
      <c r="C47" s="556"/>
      <c r="D47" s="556"/>
      <c r="E47" s="556"/>
      <c r="F47" s="420">
        <f>SUM(F46:F46)</f>
        <v>47.55</v>
      </c>
    </row>
    <row r="48" spans="1:7" ht="24" customHeight="1">
      <c r="A48" s="554" t="s">
        <v>83</v>
      </c>
      <c r="B48" s="554"/>
      <c r="C48" s="554"/>
      <c r="D48" s="554"/>
      <c r="E48" s="554"/>
      <c r="F48" s="420">
        <f>SUM(F44+F47)</f>
        <v>81.58</v>
      </c>
    </row>
    <row r="49" spans="1:6" ht="24" customHeight="1">
      <c r="A49" s="554" t="s">
        <v>84</v>
      </c>
      <c r="B49" s="554"/>
      <c r="C49" s="554"/>
      <c r="D49" s="554"/>
      <c r="E49" s="554"/>
      <c r="F49" s="467">
        <f>F48</f>
        <v>81.58</v>
      </c>
    </row>
    <row r="50" spans="1:6" ht="24" customHeight="1">
      <c r="A50" s="341" t="s">
        <v>2</v>
      </c>
      <c r="B50" s="353" t="s">
        <v>62</v>
      </c>
      <c r="C50" s="353" t="s">
        <v>4</v>
      </c>
      <c r="D50" s="353" t="s">
        <v>63</v>
      </c>
      <c r="E50" s="353" t="s">
        <v>64</v>
      </c>
      <c r="F50" s="353" t="s">
        <v>65</v>
      </c>
    </row>
    <row r="51" spans="1:6" ht="24" customHeight="1">
      <c r="A51" s="488" t="str">
        <f>'ORÇAMENTO - CASA DE FORÇA'!A74</f>
        <v>5.27</v>
      </c>
      <c r="B51" s="557" t="str">
        <f>'ORÇAMENTO - CASA DE FORÇA'!C74</f>
        <v>Fornecimento e instalação de Luminária tipo plafon, de sobrepor, com 1 lâmpada LED 20 W.</v>
      </c>
      <c r="C51" s="557"/>
      <c r="D51" s="557"/>
      <c r="E51" s="557"/>
      <c r="F51" s="557"/>
    </row>
    <row r="52" spans="1:6" ht="24" customHeight="1">
      <c r="A52" s="344"/>
      <c r="B52" s="555" t="s">
        <v>66</v>
      </c>
      <c r="C52" s="555"/>
      <c r="D52" s="555"/>
      <c r="E52" s="555"/>
      <c r="F52" s="555"/>
    </row>
    <row r="53" spans="1:6" ht="24" customHeight="1">
      <c r="A53" s="398">
        <v>88264</v>
      </c>
      <c r="B53" s="490" t="s">
        <v>509</v>
      </c>
      <c r="C53" s="359" t="s">
        <v>69</v>
      </c>
      <c r="D53" s="399" t="s">
        <v>658</v>
      </c>
      <c r="E53" s="419">
        <v>19.04</v>
      </c>
      <c r="F53" s="397">
        <f>ROUND(D53*E53,2)</f>
        <v>10.199999999999999</v>
      </c>
    </row>
    <row r="54" spans="1:6" ht="24" customHeight="1">
      <c r="A54" s="398">
        <v>88247</v>
      </c>
      <c r="B54" s="490" t="s">
        <v>511</v>
      </c>
      <c r="C54" s="359" t="s">
        <v>69</v>
      </c>
      <c r="D54" s="399" t="s">
        <v>657</v>
      </c>
      <c r="E54" s="419">
        <v>14.99</v>
      </c>
      <c r="F54" s="397">
        <f>ROUND(D54*E54,2)</f>
        <v>3.34</v>
      </c>
    </row>
    <row r="55" spans="1:6" ht="24" customHeight="1">
      <c r="A55" s="554" t="s">
        <v>72</v>
      </c>
      <c r="B55" s="554"/>
      <c r="C55" s="554"/>
      <c r="D55" s="554"/>
      <c r="E55" s="554"/>
      <c r="F55" s="420">
        <f>SUM(F53:F54)</f>
        <v>13.54</v>
      </c>
    </row>
    <row r="56" spans="1:6" ht="24" customHeight="1">
      <c r="A56" s="556" t="s">
        <v>73</v>
      </c>
      <c r="B56" s="556"/>
      <c r="C56" s="556"/>
      <c r="D56" s="556"/>
      <c r="E56" s="556"/>
      <c r="F56" s="420">
        <f>SUM(F55:F55)</f>
        <v>13.54</v>
      </c>
    </row>
    <row r="57" spans="1:6" ht="24" customHeight="1">
      <c r="A57" s="457"/>
      <c r="B57" s="555" t="s">
        <v>74</v>
      </c>
      <c r="C57" s="555"/>
      <c r="D57" s="555"/>
      <c r="E57" s="555"/>
      <c r="F57" s="555"/>
    </row>
    <row r="58" spans="1:6" ht="37.5" customHeight="1">
      <c r="A58" s="345">
        <v>39385</v>
      </c>
      <c r="B58" s="362" t="s">
        <v>659</v>
      </c>
      <c r="C58" s="359" t="s">
        <v>433</v>
      </c>
      <c r="D58" s="399" t="s">
        <v>617</v>
      </c>
      <c r="E58" s="362">
        <v>20.91</v>
      </c>
      <c r="F58" s="362">
        <f>E58*D58</f>
        <v>20.91</v>
      </c>
    </row>
    <row r="59" spans="1:6" ht="24" customHeight="1">
      <c r="A59" s="345" t="s">
        <v>423</v>
      </c>
      <c r="B59" s="362" t="s">
        <v>660</v>
      </c>
      <c r="C59" s="359" t="s">
        <v>18</v>
      </c>
      <c r="D59" s="399">
        <v>1</v>
      </c>
      <c r="E59" s="397">
        <v>29.95</v>
      </c>
      <c r="F59" s="397">
        <f>ROUND(D59*E59,2)</f>
        <v>29.95</v>
      </c>
    </row>
    <row r="60" spans="1:6" ht="24" customHeight="1">
      <c r="A60" s="556" t="s">
        <v>82</v>
      </c>
      <c r="B60" s="556"/>
      <c r="C60" s="556"/>
      <c r="D60" s="556"/>
      <c r="E60" s="556"/>
      <c r="F60" s="420">
        <f>SUM(F58:F59)</f>
        <v>50.86</v>
      </c>
    </row>
    <row r="61" spans="1:6" ht="24" customHeight="1">
      <c r="A61" s="554" t="s">
        <v>83</v>
      </c>
      <c r="B61" s="554"/>
      <c r="C61" s="554"/>
      <c r="D61" s="554"/>
      <c r="E61" s="554"/>
      <c r="F61" s="420">
        <f>SUM(F56+F60)</f>
        <v>64.400000000000006</v>
      </c>
    </row>
    <row r="62" spans="1:6" ht="24" customHeight="1">
      <c r="A62" s="554" t="s">
        <v>84</v>
      </c>
      <c r="B62" s="554"/>
      <c r="C62" s="554"/>
      <c r="D62" s="554"/>
      <c r="E62" s="554"/>
      <c r="F62" s="467">
        <f>F61</f>
        <v>64.400000000000006</v>
      </c>
    </row>
    <row r="63" spans="1:6" ht="24" customHeight="1">
      <c r="A63" s="341" t="s">
        <v>2</v>
      </c>
      <c r="B63" s="353" t="s">
        <v>62</v>
      </c>
      <c r="C63" s="353" t="s">
        <v>4</v>
      </c>
      <c r="D63" s="353" t="s">
        <v>63</v>
      </c>
      <c r="E63" s="353" t="s">
        <v>64</v>
      </c>
      <c r="F63" s="353" t="s">
        <v>65</v>
      </c>
    </row>
    <row r="64" spans="1:6" ht="24" customHeight="1">
      <c r="A64" s="488" t="str">
        <f>'ORÇAMENTO - CASA DE FORÇA'!A79</f>
        <v>5.32</v>
      </c>
      <c r="B64" s="557" t="str">
        <f>'ORÇAMENTO - CASA DE FORÇA'!C79</f>
        <v>Fornecimento e instalação de cabo 10 mm² 3,6/6 KV EPR</v>
      </c>
      <c r="C64" s="557"/>
      <c r="D64" s="557"/>
      <c r="E64" s="557"/>
      <c r="F64" s="557"/>
    </row>
    <row r="65" spans="1:7" ht="24" customHeight="1">
      <c r="A65" s="344"/>
      <c r="B65" s="555" t="s">
        <v>66</v>
      </c>
      <c r="C65" s="555"/>
      <c r="D65" s="555"/>
      <c r="E65" s="555"/>
      <c r="F65" s="555"/>
    </row>
    <row r="66" spans="1:7" ht="24" customHeight="1">
      <c r="A66" s="398">
        <v>88264</v>
      </c>
      <c r="B66" s="38" t="s">
        <v>509</v>
      </c>
      <c r="C66" s="359" t="s">
        <v>69</v>
      </c>
      <c r="D66" s="399" t="s">
        <v>765</v>
      </c>
      <c r="E66" s="419">
        <v>19.04</v>
      </c>
      <c r="F66" s="397">
        <f>ROUND(D66*E66,2)</f>
        <v>1.47</v>
      </c>
    </row>
    <row r="67" spans="1:7" ht="24" customHeight="1">
      <c r="A67" s="398">
        <v>88247</v>
      </c>
      <c r="B67" s="38" t="s">
        <v>511</v>
      </c>
      <c r="C67" s="359" t="s">
        <v>69</v>
      </c>
      <c r="D67" s="399" t="s">
        <v>765</v>
      </c>
      <c r="E67" s="419">
        <v>14.99</v>
      </c>
      <c r="F67" s="397">
        <f>ROUND(D67*E67,2)</f>
        <v>1.1499999999999999</v>
      </c>
    </row>
    <row r="68" spans="1:7" ht="24" customHeight="1">
      <c r="A68" s="554" t="s">
        <v>72</v>
      </c>
      <c r="B68" s="554"/>
      <c r="C68" s="554"/>
      <c r="D68" s="554"/>
      <c r="E68" s="554"/>
      <c r="F68" s="420">
        <f>SUM(F66:F67)</f>
        <v>2.62</v>
      </c>
    </row>
    <row r="69" spans="1:7" ht="24" customHeight="1">
      <c r="A69" s="556" t="s">
        <v>73</v>
      </c>
      <c r="B69" s="556"/>
      <c r="C69" s="556"/>
      <c r="D69" s="556"/>
      <c r="E69" s="556"/>
      <c r="F69" s="420">
        <f>SUM(F68:F68)</f>
        <v>2.62</v>
      </c>
      <c r="G69">
        <f>37.48+340+400+49+90</f>
        <v>916.48</v>
      </c>
    </row>
    <row r="70" spans="1:7" ht="24" customHeight="1">
      <c r="A70" s="464"/>
      <c r="B70" s="555" t="s">
        <v>74</v>
      </c>
      <c r="C70" s="555"/>
      <c r="D70" s="555"/>
      <c r="E70" s="555"/>
      <c r="F70" s="555"/>
    </row>
    <row r="71" spans="1:7" ht="24" customHeight="1">
      <c r="A71" s="345" t="s">
        <v>178</v>
      </c>
      <c r="B71" s="362" t="s">
        <v>766</v>
      </c>
      <c r="C71" s="359" t="s">
        <v>548</v>
      </c>
      <c r="D71" s="399">
        <v>1</v>
      </c>
      <c r="E71" s="362">
        <v>12.34</v>
      </c>
      <c r="F71" s="362">
        <f>E71*D71</f>
        <v>12.34</v>
      </c>
    </row>
    <row r="72" spans="1:7" ht="24" customHeight="1">
      <c r="A72" s="345">
        <v>21127</v>
      </c>
      <c r="B72" s="362" t="s">
        <v>767</v>
      </c>
      <c r="C72" s="359" t="s">
        <v>433</v>
      </c>
      <c r="D72" s="399" t="s">
        <v>768</v>
      </c>
      <c r="E72" s="397">
        <v>3.59</v>
      </c>
      <c r="F72" s="397">
        <f>ROUND(D72*E72,2)</f>
        <v>0.03</v>
      </c>
    </row>
    <row r="73" spans="1:7" ht="24" customHeight="1">
      <c r="A73" s="556" t="s">
        <v>82</v>
      </c>
      <c r="B73" s="556"/>
      <c r="C73" s="556"/>
      <c r="D73" s="556"/>
      <c r="E73" s="556"/>
      <c r="F73" s="420">
        <f>SUM(F71:F72)</f>
        <v>12.37</v>
      </c>
    </row>
    <row r="74" spans="1:7" ht="24" customHeight="1">
      <c r="A74" s="554" t="s">
        <v>83</v>
      </c>
      <c r="B74" s="554"/>
      <c r="C74" s="554"/>
      <c r="D74" s="554"/>
      <c r="E74" s="554"/>
      <c r="F74" s="420">
        <f>SUM(F69+F73)</f>
        <v>14.99</v>
      </c>
    </row>
    <row r="75" spans="1:7" ht="24" customHeight="1">
      <c r="A75" s="554" t="s">
        <v>84</v>
      </c>
      <c r="B75" s="554"/>
      <c r="C75" s="554"/>
      <c r="D75" s="554"/>
      <c r="E75" s="554"/>
      <c r="F75" s="467">
        <f>F74</f>
        <v>14.99</v>
      </c>
    </row>
    <row r="76" spans="1:7" ht="24" customHeight="1">
      <c r="A76" s="341" t="s">
        <v>2</v>
      </c>
      <c r="B76" s="353" t="s">
        <v>62</v>
      </c>
      <c r="C76" s="353" t="s">
        <v>4</v>
      </c>
      <c r="D76" s="353" t="s">
        <v>63</v>
      </c>
      <c r="E76" s="353" t="s">
        <v>64</v>
      </c>
      <c r="F76" s="353" t="s">
        <v>65</v>
      </c>
    </row>
    <row r="77" spans="1:7" ht="24" customHeight="1">
      <c r="A77" s="488" t="str">
        <f>'ORÇAMENTO - CASA DE FORÇA'!A80</f>
        <v>5.33</v>
      </c>
      <c r="B77" s="557" t="str">
        <f>'ORÇAMENTO - CASA DE FORÇA'!C80</f>
        <v>Fornecimento e instalação de quadro de transferência automátiva 100 KVA</v>
      </c>
      <c r="C77" s="557"/>
      <c r="D77" s="557"/>
      <c r="E77" s="557"/>
      <c r="F77" s="557"/>
    </row>
    <row r="78" spans="1:7" ht="24" customHeight="1">
      <c r="A78" s="344"/>
      <c r="B78" s="555" t="s">
        <v>66</v>
      </c>
      <c r="C78" s="555"/>
      <c r="D78" s="555"/>
      <c r="E78" s="555"/>
      <c r="F78" s="555"/>
    </row>
    <row r="79" spans="1:7" ht="24" customHeight="1">
      <c r="A79" s="398">
        <v>88264</v>
      </c>
      <c r="B79" s="38" t="s">
        <v>509</v>
      </c>
      <c r="C79" s="359" t="s">
        <v>69</v>
      </c>
      <c r="D79" s="399">
        <v>4</v>
      </c>
      <c r="E79" s="419">
        <v>19.04</v>
      </c>
      <c r="F79" s="397">
        <f>ROUND(D79*E79,2)</f>
        <v>76.16</v>
      </c>
    </row>
    <row r="80" spans="1:7" ht="24" customHeight="1">
      <c r="A80" s="398">
        <v>88247</v>
      </c>
      <c r="B80" s="38" t="s">
        <v>511</v>
      </c>
      <c r="C80" s="359" t="s">
        <v>69</v>
      </c>
      <c r="D80" s="399">
        <v>4</v>
      </c>
      <c r="E80" s="419">
        <v>14.99</v>
      </c>
      <c r="F80" s="397">
        <f>ROUND(D80*E80,2)</f>
        <v>59.96</v>
      </c>
    </row>
    <row r="81" spans="1:6" ht="24" customHeight="1">
      <c r="A81" s="554" t="s">
        <v>72</v>
      </c>
      <c r="B81" s="554"/>
      <c r="C81" s="554"/>
      <c r="D81" s="554"/>
      <c r="E81" s="554"/>
      <c r="F81" s="420">
        <f>SUM(F79:F80)</f>
        <v>136.12</v>
      </c>
    </row>
    <row r="82" spans="1:6" ht="24" customHeight="1">
      <c r="A82" s="556" t="s">
        <v>73</v>
      </c>
      <c r="B82" s="556"/>
      <c r="C82" s="556"/>
      <c r="D82" s="556"/>
      <c r="E82" s="556"/>
      <c r="F82" s="420">
        <f>SUM(F81:F81)</f>
        <v>136.12</v>
      </c>
    </row>
    <row r="83" spans="1:6" ht="24" customHeight="1">
      <c r="A83" s="464"/>
      <c r="B83" s="555" t="s">
        <v>74</v>
      </c>
      <c r="C83" s="555"/>
      <c r="D83" s="555"/>
      <c r="E83" s="555"/>
      <c r="F83" s="555"/>
    </row>
    <row r="84" spans="1:6" ht="46.5" customHeight="1">
      <c r="A84" s="345" t="s">
        <v>423</v>
      </c>
      <c r="B84" s="38" t="s">
        <v>770</v>
      </c>
      <c r="C84" s="39" t="s">
        <v>18</v>
      </c>
      <c r="D84" s="477">
        <v>1</v>
      </c>
      <c r="E84" s="477">
        <v>7400</v>
      </c>
      <c r="F84" s="397">
        <f>ROUND(D84*E84,2)</f>
        <v>7400</v>
      </c>
    </row>
    <row r="85" spans="1:6" ht="24" customHeight="1">
      <c r="A85" s="556" t="s">
        <v>82</v>
      </c>
      <c r="B85" s="556"/>
      <c r="C85" s="556"/>
      <c r="D85" s="556"/>
      <c r="E85" s="556"/>
      <c r="F85" s="420">
        <f>SUM(F84:F84)</f>
        <v>7400</v>
      </c>
    </row>
    <row r="86" spans="1:6" ht="24" customHeight="1">
      <c r="A86" s="554" t="s">
        <v>83</v>
      </c>
      <c r="B86" s="554"/>
      <c r="C86" s="554"/>
      <c r="D86" s="554"/>
      <c r="E86" s="554"/>
      <c r="F86" s="420">
        <f>SUM(F82+F85)</f>
        <v>7536.12</v>
      </c>
    </row>
    <row r="87" spans="1:6" ht="24" customHeight="1">
      <c r="A87" s="554" t="s">
        <v>84</v>
      </c>
      <c r="B87" s="554"/>
      <c r="C87" s="554"/>
      <c r="D87" s="554"/>
      <c r="E87" s="554"/>
      <c r="F87" s="467">
        <f>F86</f>
        <v>7536.12</v>
      </c>
    </row>
    <row r="88" spans="1:6" ht="24" customHeight="1">
      <c r="A88" s="341" t="s">
        <v>2</v>
      </c>
      <c r="B88" s="353" t="s">
        <v>62</v>
      </c>
      <c r="C88" s="353" t="s">
        <v>4</v>
      </c>
      <c r="D88" s="353" t="s">
        <v>63</v>
      </c>
      <c r="E88" s="353" t="s">
        <v>64</v>
      </c>
      <c r="F88" s="353" t="s">
        <v>65</v>
      </c>
    </row>
    <row r="89" spans="1:6" ht="24" customHeight="1">
      <c r="A89" s="488" t="str">
        <f>'ORÇAMENTO - CASA DE FORÇA'!A81</f>
        <v>5.34</v>
      </c>
      <c r="B89" s="557" t="str">
        <f>'ORÇAMENTO - CASA DE FORÇA'!C81</f>
        <v>Instalação de gerador estacionário a diesel 100 KVA - 60Hz - 220/127V com acessórios e revisão com reposição de peças danificadas</v>
      </c>
      <c r="C89" s="557"/>
      <c r="D89" s="557"/>
      <c r="E89" s="557"/>
      <c r="F89" s="557"/>
    </row>
    <row r="90" spans="1:6" ht="24" customHeight="1">
      <c r="A90" s="344"/>
      <c r="B90" s="555" t="s">
        <v>66</v>
      </c>
      <c r="C90" s="555"/>
      <c r="D90" s="555"/>
      <c r="E90" s="555"/>
      <c r="F90" s="555"/>
    </row>
    <row r="91" spans="1:6" ht="24" customHeight="1">
      <c r="A91" s="398">
        <v>88264</v>
      </c>
      <c r="B91" s="38" t="s">
        <v>509</v>
      </c>
      <c r="C91" s="359" t="s">
        <v>69</v>
      </c>
      <c r="D91" s="399">
        <v>45</v>
      </c>
      <c r="E91" s="419">
        <v>19.04</v>
      </c>
      <c r="F91" s="397">
        <f>ROUND(D91*E91,2)</f>
        <v>856.8</v>
      </c>
    </row>
    <row r="92" spans="1:6" ht="24" customHeight="1">
      <c r="A92" s="398">
        <v>88243</v>
      </c>
      <c r="B92" s="38" t="s">
        <v>738</v>
      </c>
      <c r="C92" s="359" t="s">
        <v>69</v>
      </c>
      <c r="D92" s="399">
        <f>45+24</f>
        <v>69</v>
      </c>
      <c r="E92" s="419">
        <v>17.88</v>
      </c>
      <c r="F92" s="397">
        <f>ROUND(D92*E92,2)</f>
        <v>1233.72</v>
      </c>
    </row>
    <row r="93" spans="1:6" ht="24" customHeight="1">
      <c r="A93" s="398">
        <v>88266</v>
      </c>
      <c r="B93" s="38" t="s">
        <v>737</v>
      </c>
      <c r="C93" s="359" t="s">
        <v>69</v>
      </c>
      <c r="D93" s="399">
        <v>45</v>
      </c>
      <c r="E93" s="470">
        <v>21.04</v>
      </c>
      <c r="F93" s="397">
        <f>ROUND(D93*E93,2)</f>
        <v>946.8</v>
      </c>
    </row>
    <row r="94" spans="1:6" ht="24" customHeight="1">
      <c r="A94" s="554" t="s">
        <v>72</v>
      </c>
      <c r="B94" s="554"/>
      <c r="C94" s="554"/>
      <c r="D94" s="554"/>
      <c r="E94" s="554"/>
      <c r="F94" s="420">
        <f>SUM(F91:F93)</f>
        <v>3037.32</v>
      </c>
    </row>
    <row r="95" spans="1:6" ht="24" customHeight="1">
      <c r="A95" s="556" t="s">
        <v>73</v>
      </c>
      <c r="B95" s="556"/>
      <c r="C95" s="556"/>
      <c r="D95" s="556"/>
      <c r="E95" s="556"/>
      <c r="F95" s="420">
        <f>SUM(F94:F94)</f>
        <v>3037.32</v>
      </c>
    </row>
    <row r="96" spans="1:6" ht="24" customHeight="1">
      <c r="A96" s="464"/>
      <c r="B96" s="555" t="s">
        <v>74</v>
      </c>
      <c r="C96" s="555"/>
      <c r="D96" s="555"/>
      <c r="E96" s="555"/>
      <c r="F96" s="555"/>
    </row>
    <row r="97" spans="1:6" ht="24" customHeight="1">
      <c r="A97" s="345">
        <v>100950</v>
      </c>
      <c r="B97" s="362" t="s">
        <v>742</v>
      </c>
      <c r="C97" s="472" t="s">
        <v>743</v>
      </c>
      <c r="D97" s="399">
        <f>11*1.5</f>
        <v>16.5</v>
      </c>
      <c r="E97" s="397">
        <v>2.4700000000000002</v>
      </c>
      <c r="F97" s="397">
        <f>E97*D97</f>
        <v>40.76</v>
      </c>
    </row>
    <row r="98" spans="1:6" ht="36.75" customHeight="1">
      <c r="A98" s="345">
        <v>93285</v>
      </c>
      <c r="B98" s="362" t="s">
        <v>744</v>
      </c>
      <c r="C98" s="359" t="s">
        <v>566</v>
      </c>
      <c r="D98" s="399">
        <v>6</v>
      </c>
      <c r="E98" s="397">
        <v>131.25</v>
      </c>
      <c r="F98" s="397">
        <f>E98*D98</f>
        <v>787.5</v>
      </c>
    </row>
    <row r="99" spans="1:6" ht="36.75" customHeight="1">
      <c r="A99" s="345"/>
      <c r="B99" s="362" t="s">
        <v>801</v>
      </c>
      <c r="C99" s="359" t="s">
        <v>577</v>
      </c>
      <c r="D99" s="399">
        <v>1</v>
      </c>
      <c r="E99" s="397">
        <v>10000</v>
      </c>
      <c r="F99" s="397">
        <f>E99*D99</f>
        <v>10000</v>
      </c>
    </row>
    <row r="100" spans="1:6" ht="24" customHeight="1">
      <c r="A100" s="554" t="s">
        <v>83</v>
      </c>
      <c r="B100" s="554"/>
      <c r="C100" s="554"/>
      <c r="D100" s="554"/>
      <c r="E100" s="554"/>
      <c r="F100" s="420">
        <f>SUM(F97:F99)</f>
        <v>10828.26</v>
      </c>
    </row>
    <row r="101" spans="1:6" ht="24" customHeight="1">
      <c r="A101" s="554" t="s">
        <v>84</v>
      </c>
      <c r="B101" s="554"/>
      <c r="C101" s="554"/>
      <c r="D101" s="554"/>
      <c r="E101" s="554"/>
      <c r="F101" s="467">
        <f>SUM(F100+F95)</f>
        <v>13865.58</v>
      </c>
    </row>
    <row r="102" spans="1:6" ht="24" customHeight="1">
      <c r="A102" s="558" t="s">
        <v>745</v>
      </c>
      <c r="B102" s="558"/>
      <c r="C102" s="558"/>
      <c r="D102" s="558"/>
      <c r="E102" s="558"/>
      <c r="F102" s="558"/>
    </row>
    <row r="103" spans="1:6" ht="24" customHeight="1">
      <c r="A103" s="341" t="s">
        <v>2</v>
      </c>
      <c r="B103" s="353" t="s">
        <v>62</v>
      </c>
      <c r="C103" s="353" t="s">
        <v>4</v>
      </c>
      <c r="D103" s="353" t="s">
        <v>63</v>
      </c>
      <c r="E103" s="353" t="s">
        <v>64</v>
      </c>
      <c r="F103" s="353" t="s">
        <v>65</v>
      </c>
    </row>
    <row r="104" spans="1:6" ht="24" customHeight="1">
      <c r="A104" s="491" t="str">
        <f>'ORÇAMENTO - CASA DE FORÇA'!A91</f>
        <v>6.8</v>
      </c>
      <c r="B104" s="596" t="str">
        <f>'ORÇAMENTO - CASA DE FORÇA'!C91</f>
        <v>Fornecimento e instalação de caixa de equipotencialização - 11 terminais</v>
      </c>
      <c r="C104" s="596"/>
      <c r="D104" s="596"/>
      <c r="E104" s="596"/>
      <c r="F104" s="596"/>
    </row>
    <row r="105" spans="1:6" ht="24" customHeight="1">
      <c r="A105" s="436"/>
      <c r="B105" s="597" t="s">
        <v>66</v>
      </c>
      <c r="C105" s="597"/>
      <c r="D105" s="597"/>
      <c r="E105" s="597"/>
      <c r="F105" s="597"/>
    </row>
    <row r="106" spans="1:6" ht="24" customHeight="1">
      <c r="A106" s="352" t="s">
        <v>510</v>
      </c>
      <c r="B106" s="368" t="s">
        <v>511</v>
      </c>
      <c r="C106" s="376" t="s">
        <v>69</v>
      </c>
      <c r="D106" s="377">
        <v>2</v>
      </c>
      <c r="E106" s="419">
        <v>14.99</v>
      </c>
      <c r="F106" s="379">
        <f>E106*D106</f>
        <v>29.98</v>
      </c>
    </row>
    <row r="107" spans="1:6" ht="24" customHeight="1">
      <c r="A107" s="352" t="s">
        <v>508</v>
      </c>
      <c r="B107" s="368" t="s">
        <v>509</v>
      </c>
      <c r="C107" s="376" t="s">
        <v>69</v>
      </c>
      <c r="D107" s="377">
        <v>2</v>
      </c>
      <c r="E107" s="419">
        <v>19.04</v>
      </c>
      <c r="F107" s="379">
        <f>E107*D107</f>
        <v>38.08</v>
      </c>
    </row>
    <row r="108" spans="1:6" ht="24" customHeight="1">
      <c r="A108" s="599" t="s">
        <v>72</v>
      </c>
      <c r="B108" s="599"/>
      <c r="C108" s="599"/>
      <c r="D108" s="599"/>
      <c r="E108" s="599"/>
      <c r="F108" s="380">
        <f>SUM(F106:F107)</f>
        <v>68.06</v>
      </c>
    </row>
    <row r="109" spans="1:6" ht="24" customHeight="1">
      <c r="A109" s="599" t="s">
        <v>73</v>
      </c>
      <c r="B109" s="599"/>
      <c r="C109" s="599"/>
      <c r="D109" s="599"/>
      <c r="E109" s="599"/>
      <c r="F109" s="380">
        <f>SUM(F108:F108)</f>
        <v>68.06</v>
      </c>
    </row>
    <row r="110" spans="1:6" ht="24" customHeight="1">
      <c r="A110" s="436"/>
      <c r="B110" s="597" t="s">
        <v>74</v>
      </c>
      <c r="C110" s="597"/>
      <c r="D110" s="597"/>
      <c r="E110" s="597"/>
      <c r="F110" s="597"/>
    </row>
    <row r="111" spans="1:6" ht="24" customHeight="1">
      <c r="A111" s="352" t="s">
        <v>423</v>
      </c>
      <c r="B111" s="368" t="s">
        <v>752</v>
      </c>
      <c r="C111" s="376" t="s">
        <v>434</v>
      </c>
      <c r="D111" s="377">
        <v>1</v>
      </c>
      <c r="E111" s="378">
        <v>440</v>
      </c>
      <c r="F111" s="379">
        <f>E111*D111</f>
        <v>440</v>
      </c>
    </row>
    <row r="112" spans="1:6" ht="24" customHeight="1">
      <c r="A112" s="599" t="s">
        <v>82</v>
      </c>
      <c r="B112" s="599"/>
      <c r="C112" s="599"/>
      <c r="D112" s="599"/>
      <c r="E112" s="599"/>
      <c r="F112" s="380">
        <f>SUM(F111:F111)</f>
        <v>440</v>
      </c>
    </row>
    <row r="113" spans="1:6" ht="24" customHeight="1">
      <c r="A113" s="599" t="s">
        <v>83</v>
      </c>
      <c r="B113" s="599"/>
      <c r="C113" s="599"/>
      <c r="D113" s="599"/>
      <c r="E113" s="599"/>
      <c r="F113" s="380">
        <f>SUM(F109+F112)</f>
        <v>508.06</v>
      </c>
    </row>
    <row r="114" spans="1:6" ht="24" customHeight="1">
      <c r="A114" s="599" t="s">
        <v>84</v>
      </c>
      <c r="B114" s="599"/>
      <c r="C114" s="599"/>
      <c r="D114" s="599"/>
      <c r="E114" s="599"/>
      <c r="F114" s="475">
        <f>F113</f>
        <v>508.06</v>
      </c>
    </row>
    <row r="115" spans="1:6">
      <c r="A115" s="558" t="s">
        <v>799</v>
      </c>
      <c r="B115" s="558"/>
      <c r="C115" s="558"/>
      <c r="D115" s="558"/>
      <c r="E115" s="558"/>
      <c r="F115" s="558"/>
    </row>
    <row r="116" spans="1:6" ht="17.25" customHeight="1">
      <c r="A116" s="341" t="s">
        <v>2</v>
      </c>
      <c r="B116" s="353" t="s">
        <v>62</v>
      </c>
      <c r="C116" s="353" t="s">
        <v>4</v>
      </c>
      <c r="D116" s="353" t="s">
        <v>63</v>
      </c>
      <c r="E116" s="353" t="s">
        <v>64</v>
      </c>
      <c r="F116" s="353" t="s">
        <v>65</v>
      </c>
    </row>
    <row r="117" spans="1:6" ht="16.5" customHeight="1">
      <c r="A117" s="492" t="s">
        <v>54</v>
      </c>
      <c r="B117" s="605" t="str">
        <f>'ORÇAMENTO - CASA DE FORÇA'!C99</f>
        <v>Execução  de ponto de dreno para split (até 10 m de comprimento), incluso conexões e tubos em PVC  de 40 mm</v>
      </c>
      <c r="C117" s="606"/>
      <c r="D117" s="606"/>
      <c r="E117" s="606"/>
      <c r="F117" s="607"/>
    </row>
    <row r="118" spans="1:6" ht="16.5" customHeight="1">
      <c r="A118" s="350"/>
      <c r="B118" s="592" t="s">
        <v>66</v>
      </c>
      <c r="C118" s="593"/>
      <c r="D118" s="593"/>
      <c r="E118" s="593"/>
      <c r="F118" s="594"/>
    </row>
    <row r="119" spans="1:6" ht="16.5" customHeight="1">
      <c r="A119" s="343" t="s">
        <v>514</v>
      </c>
      <c r="B119" s="38" t="s">
        <v>515</v>
      </c>
      <c r="C119" s="364" t="s">
        <v>69</v>
      </c>
      <c r="D119" s="365">
        <v>3</v>
      </c>
      <c r="E119" s="358">
        <v>18.399999999999999</v>
      </c>
      <c r="F119" s="366">
        <f>E119*D119</f>
        <v>55.2</v>
      </c>
    </row>
    <row r="120" spans="1:6" ht="16.5" customHeight="1">
      <c r="A120" s="343" t="s">
        <v>516</v>
      </c>
      <c r="B120" s="38" t="s">
        <v>517</v>
      </c>
      <c r="C120" s="364" t="s">
        <v>69</v>
      </c>
      <c r="D120" s="365">
        <v>3</v>
      </c>
      <c r="E120" s="358">
        <v>14.5</v>
      </c>
      <c r="F120" s="366">
        <f>E120*D120</f>
        <v>43.5</v>
      </c>
    </row>
    <row r="121" spans="1:6" ht="16.5" customHeight="1">
      <c r="A121" s="586" t="s">
        <v>72</v>
      </c>
      <c r="B121" s="587"/>
      <c r="C121" s="587"/>
      <c r="D121" s="587"/>
      <c r="E121" s="588"/>
      <c r="F121" s="367">
        <f>SUM(F119:F120)</f>
        <v>98.7</v>
      </c>
    </row>
    <row r="122" spans="1:6" ht="16.5" customHeight="1">
      <c r="A122" s="586" t="s">
        <v>73</v>
      </c>
      <c r="B122" s="587"/>
      <c r="C122" s="587"/>
      <c r="D122" s="587"/>
      <c r="E122" s="588"/>
      <c r="F122" s="367">
        <f>SUM(F121:F121)</f>
        <v>98.7</v>
      </c>
    </row>
    <row r="123" spans="1:6" ht="16.5" customHeight="1">
      <c r="A123" s="351"/>
      <c r="B123" s="592" t="s">
        <v>74</v>
      </c>
      <c r="C123" s="593"/>
      <c r="D123" s="593"/>
      <c r="E123" s="593"/>
      <c r="F123" s="594"/>
    </row>
    <row r="124" spans="1:6" ht="16.5" customHeight="1">
      <c r="A124" s="352" t="s">
        <v>661</v>
      </c>
      <c r="B124" s="368" t="s">
        <v>662</v>
      </c>
      <c r="C124" s="369" t="s">
        <v>434</v>
      </c>
      <c r="D124" s="370">
        <v>2</v>
      </c>
      <c r="E124" s="371">
        <v>5.58</v>
      </c>
      <c r="F124" s="366">
        <f>D124*E124</f>
        <v>11.16</v>
      </c>
    </row>
    <row r="125" spans="1:6" ht="16.5" customHeight="1">
      <c r="A125" s="352" t="s">
        <v>529</v>
      </c>
      <c r="B125" s="368" t="s">
        <v>528</v>
      </c>
      <c r="C125" s="369" t="s">
        <v>17</v>
      </c>
      <c r="D125" s="370">
        <v>5</v>
      </c>
      <c r="E125" s="371">
        <v>14.65</v>
      </c>
      <c r="F125" s="366">
        <f>D125*E125</f>
        <v>73.25</v>
      </c>
    </row>
    <row r="126" spans="1:6" ht="16.5" customHeight="1">
      <c r="A126" s="586" t="s">
        <v>82</v>
      </c>
      <c r="B126" s="587"/>
      <c r="C126" s="587"/>
      <c r="D126" s="587"/>
      <c r="E126" s="588"/>
      <c r="F126" s="367">
        <f>SUM(F124:F125)</f>
        <v>84.41</v>
      </c>
    </row>
    <row r="127" spans="1:6" ht="16.5" customHeight="1">
      <c r="A127" s="589" t="s">
        <v>83</v>
      </c>
      <c r="B127" s="590"/>
      <c r="C127" s="590"/>
      <c r="D127" s="590"/>
      <c r="E127" s="591"/>
      <c r="F127" s="372">
        <f>SUM(F122+F126)</f>
        <v>183.11</v>
      </c>
    </row>
    <row r="128" spans="1:6" ht="16.5" customHeight="1">
      <c r="A128" s="589" t="s">
        <v>84</v>
      </c>
      <c r="B128" s="590"/>
      <c r="C128" s="590"/>
      <c r="D128" s="590"/>
      <c r="E128" s="591"/>
      <c r="F128" s="456">
        <f>F127</f>
        <v>183.11</v>
      </c>
    </row>
    <row r="129" spans="1:6">
      <c r="A129" s="558">
        <f>'ORÇAMENTO - CASA DE FORÇA'!A101:D101</f>
        <v>8</v>
      </c>
      <c r="B129" s="558"/>
      <c r="C129" s="558"/>
      <c r="D129" s="558"/>
      <c r="E129" s="558"/>
      <c r="F129" s="558"/>
    </row>
    <row r="130" spans="1:6">
      <c r="A130" s="341" t="s">
        <v>2</v>
      </c>
      <c r="B130" s="353" t="s">
        <v>62</v>
      </c>
      <c r="C130" s="353" t="s">
        <v>4</v>
      </c>
      <c r="D130" s="353" t="s">
        <v>63</v>
      </c>
      <c r="E130" s="353" t="s">
        <v>64</v>
      </c>
      <c r="F130" s="353" t="s">
        <v>65</v>
      </c>
    </row>
    <row r="131" spans="1:6">
      <c r="A131" s="493" t="str">
        <f>'ORÇAMENTO - CASA DE FORÇA'!A102</f>
        <v>8.1</v>
      </c>
      <c r="B131" s="595" t="s">
        <v>168</v>
      </c>
      <c r="C131" s="595"/>
      <c r="D131" s="595"/>
      <c r="E131" s="595"/>
      <c r="F131" s="595"/>
    </row>
    <row r="132" spans="1:6" ht="16.5" customHeight="1">
      <c r="A132" s="53"/>
      <c r="B132" s="583" t="s">
        <v>66</v>
      </c>
      <c r="C132" s="583"/>
      <c r="D132" s="583"/>
      <c r="E132" s="583"/>
      <c r="F132" s="583"/>
    </row>
    <row r="133" spans="1:6" ht="16.5" customHeight="1">
      <c r="A133" s="343" t="s">
        <v>513</v>
      </c>
      <c r="B133" s="49" t="s">
        <v>512</v>
      </c>
      <c r="C133" s="39" t="s">
        <v>69</v>
      </c>
      <c r="D133" s="40">
        <f>0.5*0.1</f>
        <v>0.05</v>
      </c>
      <c r="E133" s="401">
        <v>18.89</v>
      </c>
      <c r="F133" s="36">
        <f>E133*D133</f>
        <v>0.94</v>
      </c>
    </row>
    <row r="134" spans="1:6" ht="16.5" customHeight="1">
      <c r="A134" s="347" t="s">
        <v>519</v>
      </c>
      <c r="B134" s="49" t="s">
        <v>520</v>
      </c>
      <c r="C134" s="39" t="s">
        <v>69</v>
      </c>
      <c r="D134" s="40">
        <f>1.15*0.1</f>
        <v>0.115</v>
      </c>
      <c r="E134" s="395">
        <v>15.06</v>
      </c>
      <c r="F134" s="36">
        <f>E134*D134</f>
        <v>1.73</v>
      </c>
    </row>
    <row r="135" spans="1:6" ht="21.75" customHeight="1">
      <c r="A135" s="556" t="s">
        <v>72</v>
      </c>
      <c r="B135" s="556"/>
      <c r="C135" s="556"/>
      <c r="D135" s="556"/>
      <c r="E135" s="556"/>
      <c r="F135" s="363">
        <f>SUM(F133:F134)</f>
        <v>2.67</v>
      </c>
    </row>
    <row r="136" spans="1:6" ht="16.5" customHeight="1">
      <c r="A136" s="556" t="s">
        <v>73</v>
      </c>
      <c r="B136" s="556"/>
      <c r="C136" s="556"/>
      <c r="D136" s="556"/>
      <c r="E136" s="556"/>
      <c r="F136" s="363">
        <f>SUM(F135:F135)</f>
        <v>2.67</v>
      </c>
    </row>
    <row r="137" spans="1:6">
      <c r="A137" s="406"/>
      <c r="B137" s="583" t="s">
        <v>74</v>
      </c>
      <c r="C137" s="583"/>
      <c r="D137" s="583"/>
      <c r="E137" s="583"/>
      <c r="F137" s="583"/>
    </row>
    <row r="138" spans="1:6" ht="16.5" customHeight="1">
      <c r="A138" s="354">
        <v>1379</v>
      </c>
      <c r="B138" s="38" t="s">
        <v>135</v>
      </c>
      <c r="C138" s="39" t="s">
        <v>14</v>
      </c>
      <c r="D138" s="40">
        <v>0.97</v>
      </c>
      <c r="E138" s="396">
        <v>0.94</v>
      </c>
      <c r="F138" s="36">
        <f>E138*D138</f>
        <v>0.91</v>
      </c>
    </row>
    <row r="139" spans="1:6">
      <c r="A139" s="355">
        <v>4517</v>
      </c>
      <c r="B139" s="38" t="s">
        <v>542</v>
      </c>
      <c r="C139" s="39" t="s">
        <v>17</v>
      </c>
      <c r="D139" s="40">
        <v>1.1000000000000001</v>
      </c>
      <c r="E139" s="402">
        <v>2.89</v>
      </c>
      <c r="F139" s="36">
        <f>E139*D139</f>
        <v>3.18</v>
      </c>
    </row>
    <row r="140" spans="1:6" ht="16.5" customHeight="1">
      <c r="A140" s="354">
        <v>370</v>
      </c>
      <c r="B140" s="38" t="s">
        <v>171</v>
      </c>
      <c r="C140" s="39" t="s">
        <v>8</v>
      </c>
      <c r="D140" s="40">
        <v>2.3999999999999998E-3</v>
      </c>
      <c r="E140" s="402">
        <v>55</v>
      </c>
      <c r="F140" s="36">
        <f>E140*D140</f>
        <v>0.13</v>
      </c>
    </row>
    <row r="141" spans="1:6" ht="16.5" customHeight="1">
      <c r="A141" s="556" t="s">
        <v>82</v>
      </c>
      <c r="B141" s="556"/>
      <c r="C141" s="556"/>
      <c r="D141" s="556"/>
      <c r="E141" s="556"/>
      <c r="F141" s="363">
        <f>SUM(F138:F140)</f>
        <v>4.22</v>
      </c>
    </row>
    <row r="142" spans="1:6">
      <c r="A142" s="598" t="s">
        <v>83</v>
      </c>
      <c r="B142" s="598"/>
      <c r="C142" s="598"/>
      <c r="D142" s="598"/>
      <c r="E142" s="598"/>
      <c r="F142" s="363">
        <f>SUM(F136+F141)</f>
        <v>6.89</v>
      </c>
    </row>
    <row r="143" spans="1:6" ht="16.5" customHeight="1">
      <c r="A143" s="598" t="s">
        <v>84</v>
      </c>
      <c r="B143" s="598"/>
      <c r="C143" s="598"/>
      <c r="D143" s="598"/>
      <c r="E143" s="598"/>
      <c r="F143" s="456">
        <f>F142</f>
        <v>6.89</v>
      </c>
    </row>
    <row r="144" spans="1:6" ht="16.5" customHeight="1">
      <c r="A144" s="558">
        <f>'ORÇAMENTO - CASA DE FORÇA'!A106:D106</f>
        <v>9</v>
      </c>
      <c r="B144" s="558"/>
      <c r="C144" s="558"/>
      <c r="D144" s="558"/>
      <c r="E144" s="558"/>
      <c r="F144" s="558"/>
    </row>
    <row r="145" spans="1:6">
      <c r="A145" s="341" t="s">
        <v>2</v>
      </c>
      <c r="B145" s="353" t="s">
        <v>62</v>
      </c>
      <c r="C145" s="353" t="s">
        <v>4</v>
      </c>
      <c r="D145" s="353" t="s">
        <v>63</v>
      </c>
      <c r="E145" s="353" t="s">
        <v>64</v>
      </c>
      <c r="F145" s="353" t="s">
        <v>65</v>
      </c>
    </row>
    <row r="146" spans="1:6">
      <c r="A146" s="494" t="str">
        <f>'ORÇAMENTO - CASA DE FORÇA'!A107</f>
        <v>9.1</v>
      </c>
      <c r="B146" s="602" t="str">
        <f>'ORÇAMENTO - CASA DE FORÇA'!C107</f>
        <v>Contrapiso de concreto fck 20 MPa, espessura 6 cm, armado</v>
      </c>
      <c r="C146" s="603"/>
      <c r="D146" s="603"/>
      <c r="E146" s="603"/>
      <c r="F146" s="604"/>
    </row>
    <row r="147" spans="1:6">
      <c r="A147" s="354"/>
      <c r="B147" s="583" t="s">
        <v>66</v>
      </c>
      <c r="C147" s="583"/>
      <c r="D147" s="583"/>
      <c r="E147" s="583"/>
      <c r="F147" s="583"/>
    </row>
    <row r="148" spans="1:6" ht="16.5" customHeight="1">
      <c r="A148" s="343" t="s">
        <v>513</v>
      </c>
      <c r="B148" s="49" t="s">
        <v>512</v>
      </c>
      <c r="C148" s="39" t="s">
        <v>566</v>
      </c>
      <c r="D148" s="40" t="s">
        <v>666</v>
      </c>
      <c r="E148" s="395">
        <v>18.89</v>
      </c>
      <c r="F148" s="397">
        <f>E148*D148</f>
        <v>4.1900000000000004</v>
      </c>
    </row>
    <row r="149" spans="1:6" ht="16.5" customHeight="1">
      <c r="A149" s="343" t="s">
        <v>519</v>
      </c>
      <c r="B149" s="49" t="s">
        <v>520</v>
      </c>
      <c r="C149" s="39" t="s">
        <v>566</v>
      </c>
      <c r="D149" s="40" t="s">
        <v>667</v>
      </c>
      <c r="E149" s="395">
        <v>15.06</v>
      </c>
      <c r="F149" s="397">
        <f>E149*D149</f>
        <v>5.38</v>
      </c>
    </row>
    <row r="150" spans="1:6" ht="21.75" customHeight="1">
      <c r="A150" s="556" t="s">
        <v>72</v>
      </c>
      <c r="B150" s="556"/>
      <c r="C150" s="556"/>
      <c r="D150" s="556"/>
      <c r="E150" s="556"/>
      <c r="F150" s="400">
        <f>SUM(F148:F149)</f>
        <v>9.57</v>
      </c>
    </row>
    <row r="151" spans="1:6" ht="16.5" customHeight="1">
      <c r="A151" s="556" t="s">
        <v>73</v>
      </c>
      <c r="B151" s="556"/>
      <c r="C151" s="556"/>
      <c r="D151" s="556"/>
      <c r="E151" s="556"/>
      <c r="F151" s="400">
        <f>SUM(F150:F150)</f>
        <v>9.57</v>
      </c>
    </row>
    <row r="152" spans="1:6" ht="16.5" customHeight="1">
      <c r="A152" s="406"/>
      <c r="B152" s="583" t="s">
        <v>74</v>
      </c>
      <c r="C152" s="583"/>
      <c r="D152" s="583"/>
      <c r="E152" s="583"/>
      <c r="F152" s="583"/>
    </row>
    <row r="153" spans="1:6" ht="31.5" customHeight="1">
      <c r="A153" s="354" t="s">
        <v>668</v>
      </c>
      <c r="B153" s="38" t="s">
        <v>669</v>
      </c>
      <c r="C153" s="39" t="s">
        <v>558</v>
      </c>
      <c r="D153" s="40" t="s">
        <v>670</v>
      </c>
      <c r="E153" s="396">
        <v>41.95</v>
      </c>
      <c r="F153" s="397">
        <f>E153*D153</f>
        <v>47.08</v>
      </c>
    </row>
    <row r="154" spans="1:6" ht="29.25" customHeight="1">
      <c r="A154" s="354" t="s">
        <v>671</v>
      </c>
      <c r="B154" s="38" t="s">
        <v>672</v>
      </c>
      <c r="C154" s="39" t="s">
        <v>553</v>
      </c>
      <c r="D154" s="40" t="s">
        <v>673</v>
      </c>
      <c r="E154" s="422">
        <v>468.28</v>
      </c>
      <c r="F154" s="397">
        <f>E154*D154</f>
        <v>34.090000000000003</v>
      </c>
    </row>
    <row r="155" spans="1:6" ht="16.5" customHeight="1">
      <c r="A155" s="556" t="s">
        <v>82</v>
      </c>
      <c r="B155" s="556"/>
      <c r="C155" s="556"/>
      <c r="D155" s="556"/>
      <c r="E155" s="556"/>
      <c r="F155" s="400">
        <f>SUM(F153:F154)</f>
        <v>81.17</v>
      </c>
    </row>
    <row r="156" spans="1:6" ht="16.5" customHeight="1">
      <c r="A156" s="554" t="s">
        <v>83</v>
      </c>
      <c r="B156" s="554"/>
      <c r="C156" s="554"/>
      <c r="D156" s="554"/>
      <c r="E156" s="554"/>
      <c r="F156" s="400">
        <f>SUM(F151+F155)</f>
        <v>90.74</v>
      </c>
    </row>
    <row r="157" spans="1:6" ht="16.5" customHeight="1">
      <c r="A157" s="554" t="s">
        <v>84</v>
      </c>
      <c r="B157" s="554"/>
      <c r="C157" s="554"/>
      <c r="D157" s="554"/>
      <c r="E157" s="554"/>
      <c r="F157" s="456">
        <f>F156</f>
        <v>90.74</v>
      </c>
    </row>
    <row r="158" spans="1:6" ht="16.5" customHeight="1">
      <c r="A158" s="558">
        <f>'ORÇAMENTO - CASA DE FORÇA'!A113:D113</f>
        <v>10</v>
      </c>
      <c r="B158" s="558"/>
      <c r="C158" s="558"/>
      <c r="D158" s="558"/>
      <c r="E158" s="558"/>
      <c r="F158" s="558"/>
    </row>
    <row r="159" spans="1:6" ht="33" customHeight="1">
      <c r="A159" s="341" t="s">
        <v>2</v>
      </c>
      <c r="B159" s="353" t="s">
        <v>62</v>
      </c>
      <c r="C159" s="353" t="s">
        <v>4</v>
      </c>
      <c r="D159" s="353" t="s">
        <v>63</v>
      </c>
      <c r="E159" s="353" t="s">
        <v>64</v>
      </c>
      <c r="F159" s="353" t="s">
        <v>65</v>
      </c>
    </row>
    <row r="160" spans="1:6" ht="60" customHeight="1">
      <c r="A160" s="437" t="str">
        <f>'ORÇAMENTO - CASA DE FORÇA'!A118</f>
        <v>10.5</v>
      </c>
      <c r="B160" s="574" t="str">
        <f>'ORÇAMENTO - CASA DE FORÇA'!C118</f>
        <v xml:space="preserve">Fornecimento e instalação de porta em madeira de lei tipo mexicana, pintada com esmalte sintético acetinado na cor branco neve, duas demãos, sobre fundo nivelador, sendo uma folha de abrir, dimensões 90 x 210 cm, inclusive fechadura, dobradiças, portal e alizar com pintura </v>
      </c>
      <c r="C160" s="574"/>
      <c r="D160" s="574"/>
      <c r="E160" s="574"/>
      <c r="F160" s="574"/>
    </row>
    <row r="161" spans="1:8" ht="41.25" customHeight="1">
      <c r="A161" s="438"/>
      <c r="B161" s="575" t="s">
        <v>66</v>
      </c>
      <c r="C161" s="575"/>
      <c r="D161" s="575"/>
      <c r="E161" s="575"/>
      <c r="F161" s="575"/>
      <c r="G161">
        <f>0.9*0.15</f>
        <v>0.13500000000000001</v>
      </c>
      <c r="H161">
        <f>0.9*2.1*2</f>
        <v>3.78</v>
      </c>
    </row>
    <row r="162" spans="1:8" ht="16.5" customHeight="1">
      <c r="A162" s="343">
        <v>88261</v>
      </c>
      <c r="B162" s="49" t="s">
        <v>518</v>
      </c>
      <c r="C162" s="39" t="s">
        <v>69</v>
      </c>
      <c r="D162" s="40" t="s">
        <v>615</v>
      </c>
      <c r="E162" s="423">
        <v>18.71</v>
      </c>
      <c r="F162" s="424">
        <f>D162*E162</f>
        <v>40.130000000000003</v>
      </c>
      <c r="G162">
        <f>4.2*0.15</f>
        <v>0.63</v>
      </c>
      <c r="H162">
        <f>0.08*5.1*2</f>
        <v>0.81599999999999995</v>
      </c>
    </row>
    <row r="163" spans="1:8" ht="16.5" customHeight="1">
      <c r="A163" s="343">
        <v>88316</v>
      </c>
      <c r="B163" s="49" t="s">
        <v>520</v>
      </c>
      <c r="C163" s="39" t="s">
        <v>69</v>
      </c>
      <c r="D163" s="40" t="s">
        <v>616</v>
      </c>
      <c r="E163" s="395">
        <v>15.06</v>
      </c>
      <c r="F163" s="424">
        <f>D163*E163</f>
        <v>16.16</v>
      </c>
    </row>
    <row r="164" spans="1:8" ht="16.5" customHeight="1">
      <c r="A164" s="576" t="s">
        <v>72</v>
      </c>
      <c r="B164" s="576"/>
      <c r="C164" s="576"/>
      <c r="D164" s="576"/>
      <c r="E164" s="576"/>
      <c r="F164" s="425">
        <f>SUM(F162:F163)</f>
        <v>56.29</v>
      </c>
    </row>
    <row r="165" spans="1:8" ht="16.5" customHeight="1">
      <c r="A165" s="576" t="s">
        <v>73</v>
      </c>
      <c r="B165" s="576"/>
      <c r="C165" s="576"/>
      <c r="D165" s="576"/>
      <c r="E165" s="576"/>
      <c r="F165" s="425">
        <f>SUM(F164:F164)</f>
        <v>56.29</v>
      </c>
    </row>
    <row r="166" spans="1:8" ht="25.5" customHeight="1">
      <c r="A166" s="438"/>
      <c r="B166" s="575" t="s">
        <v>74</v>
      </c>
      <c r="C166" s="575"/>
      <c r="D166" s="575"/>
      <c r="E166" s="575"/>
      <c r="F166" s="575"/>
    </row>
    <row r="167" spans="1:8" ht="16.5" customHeight="1">
      <c r="A167" s="354">
        <v>4998</v>
      </c>
      <c r="B167" s="38" t="s">
        <v>547</v>
      </c>
      <c r="C167" s="39" t="s">
        <v>11</v>
      </c>
      <c r="D167" s="40">
        <f>0.9*2.1</f>
        <v>1.89</v>
      </c>
      <c r="E167" s="421">
        <v>469.19</v>
      </c>
      <c r="F167" s="396">
        <f t="shared" ref="F167:F173" si="0">E167*D167</f>
        <v>886.77</v>
      </c>
    </row>
    <row r="168" spans="1:8" ht="46.5" customHeight="1">
      <c r="A168" s="354" t="s">
        <v>619</v>
      </c>
      <c r="B168" s="38" t="s">
        <v>620</v>
      </c>
      <c r="C168" s="39" t="s">
        <v>433</v>
      </c>
      <c r="D168" s="40" t="s">
        <v>621</v>
      </c>
      <c r="E168" s="421">
        <v>24.01</v>
      </c>
      <c r="F168" s="396">
        <f t="shared" si="0"/>
        <v>72.03</v>
      </c>
    </row>
    <row r="169" spans="1:8" ht="43.5" customHeight="1">
      <c r="A169" s="354" t="s">
        <v>622</v>
      </c>
      <c r="B169" s="38" t="s">
        <v>623</v>
      </c>
      <c r="C169" s="39" t="s">
        <v>433</v>
      </c>
      <c r="D169" s="40" t="s">
        <v>624</v>
      </c>
      <c r="E169" s="421">
        <v>7.0000000000000007E-2</v>
      </c>
      <c r="F169" s="396">
        <f t="shared" si="0"/>
        <v>1.39</v>
      </c>
    </row>
    <row r="170" spans="1:8" ht="39.75" customHeight="1">
      <c r="A170" s="354" t="s">
        <v>627</v>
      </c>
      <c r="B170" s="38" t="s">
        <v>618</v>
      </c>
      <c r="C170" s="39" t="s">
        <v>548</v>
      </c>
      <c r="D170" s="40">
        <v>10.199999999999999</v>
      </c>
      <c r="E170" s="421">
        <v>6.96</v>
      </c>
      <c r="F170" s="396">
        <f t="shared" si="0"/>
        <v>70.989999999999995</v>
      </c>
    </row>
    <row r="171" spans="1:8" ht="36.75" customHeight="1">
      <c r="A171" s="354" t="s">
        <v>626</v>
      </c>
      <c r="B171" s="38" t="s">
        <v>546</v>
      </c>
      <c r="C171" s="39" t="s">
        <v>434</v>
      </c>
      <c r="D171" s="40">
        <v>1</v>
      </c>
      <c r="E171" s="421">
        <v>75.959999999999994</v>
      </c>
      <c r="F171" s="397">
        <f t="shared" si="0"/>
        <v>75.959999999999994</v>
      </c>
    </row>
    <row r="172" spans="1:8" ht="30" customHeight="1">
      <c r="A172" s="354" t="s">
        <v>625</v>
      </c>
      <c r="B172" s="38" t="s">
        <v>628</v>
      </c>
      <c r="C172" s="39" t="s">
        <v>433</v>
      </c>
      <c r="D172" s="40" t="s">
        <v>617</v>
      </c>
      <c r="E172" s="421">
        <v>261.89</v>
      </c>
      <c r="F172" s="396">
        <f t="shared" si="0"/>
        <v>261.89</v>
      </c>
    </row>
    <row r="173" spans="1:8" ht="37.5" customHeight="1">
      <c r="A173" s="483" t="s">
        <v>836</v>
      </c>
      <c r="B173" s="38" t="s">
        <v>593</v>
      </c>
      <c r="C173" s="39" t="s">
        <v>11</v>
      </c>
      <c r="D173" s="40">
        <f>0.135+0.63+3.78+0.82</f>
        <v>5.3650000000000002</v>
      </c>
      <c r="E173" s="426">
        <v>11.23</v>
      </c>
      <c r="F173" s="426">
        <f t="shared" si="0"/>
        <v>60.25</v>
      </c>
    </row>
    <row r="174" spans="1:8" ht="16.5" customHeight="1">
      <c r="A174" s="576" t="s">
        <v>82</v>
      </c>
      <c r="B174" s="576"/>
      <c r="C174" s="576"/>
      <c r="D174" s="576"/>
      <c r="E174" s="576"/>
      <c r="F174" s="425">
        <f>SUM(F167:F173)</f>
        <v>1429.28</v>
      </c>
    </row>
    <row r="175" spans="1:8" ht="16.5" customHeight="1">
      <c r="A175" s="585" t="s">
        <v>83</v>
      </c>
      <c r="B175" s="585"/>
      <c r="C175" s="585"/>
      <c r="D175" s="585"/>
      <c r="E175" s="585"/>
      <c r="F175" s="425">
        <f>SUM(F165+F174)</f>
        <v>1485.57</v>
      </c>
    </row>
    <row r="176" spans="1:8" ht="16.5" customHeight="1">
      <c r="A176" s="585" t="s">
        <v>84</v>
      </c>
      <c r="B176" s="585"/>
      <c r="C176" s="585"/>
      <c r="D176" s="585"/>
      <c r="E176" s="585"/>
      <c r="F176" s="456">
        <f>F175</f>
        <v>1485.57</v>
      </c>
    </row>
    <row r="177" spans="1:25" s="13" customFormat="1">
      <c r="A177" s="558">
        <f>'ORÇAMENTO - CASA DE FORÇA'!A137:D137</f>
        <v>14</v>
      </c>
      <c r="B177" s="558"/>
      <c r="C177" s="558"/>
      <c r="D177" s="558"/>
      <c r="E177" s="558"/>
      <c r="F177" s="558"/>
      <c r="I177" s="20"/>
      <c r="L177" s="20"/>
      <c r="O177" s="20"/>
      <c r="R177" s="20"/>
      <c r="U177" s="20"/>
      <c r="Y177" s="20"/>
    </row>
    <row r="178" spans="1:25">
      <c r="A178" s="341" t="s">
        <v>2</v>
      </c>
      <c r="B178" s="353" t="s">
        <v>62</v>
      </c>
      <c r="C178" s="353" t="s">
        <v>4</v>
      </c>
      <c r="D178" s="353" t="s">
        <v>63</v>
      </c>
      <c r="E178" s="353" t="s">
        <v>64</v>
      </c>
      <c r="F178" s="353" t="s">
        <v>65</v>
      </c>
    </row>
    <row r="179" spans="1:25" ht="20.25" customHeight="1">
      <c r="A179" s="349" t="str">
        <f>'ORÇAMENTO - CASA DE FORÇA'!A139</f>
        <v>14.2</v>
      </c>
      <c r="B179" s="568" t="str">
        <f>'ORÇAMENTO - CASA DE FORÇA'!C139</f>
        <v>Fornecimento e instalação de tampa em concreto com furos (0,30 x 1,00 x 0,05 m) , para canaletas</v>
      </c>
      <c r="C179" s="569"/>
      <c r="D179" s="569"/>
      <c r="E179" s="569"/>
      <c r="F179" s="570"/>
    </row>
    <row r="180" spans="1:25">
      <c r="A180" s="464"/>
      <c r="B180" s="571" t="s">
        <v>549</v>
      </c>
      <c r="C180" s="572"/>
      <c r="D180" s="572"/>
      <c r="E180" s="572"/>
      <c r="F180" s="573"/>
    </row>
    <row r="181" spans="1:25">
      <c r="A181" s="347" t="s">
        <v>436</v>
      </c>
      <c r="B181" s="38" t="s">
        <v>443</v>
      </c>
      <c r="C181" s="39" t="s">
        <v>8</v>
      </c>
      <c r="D181" s="40">
        <f>0.05*1*0.3</f>
        <v>1.4999999999999999E-2</v>
      </c>
      <c r="E181" s="358">
        <v>702.53</v>
      </c>
      <c r="F181" s="36">
        <f>E181*D181</f>
        <v>10.54</v>
      </c>
    </row>
    <row r="182" spans="1:25">
      <c r="A182" s="347" t="s">
        <v>441</v>
      </c>
      <c r="B182" s="38" t="s">
        <v>442</v>
      </c>
      <c r="C182" s="39" t="s">
        <v>11</v>
      </c>
      <c r="D182" s="40">
        <f>2.6*0.05</f>
        <v>0.13</v>
      </c>
      <c r="E182" s="358">
        <v>59.47</v>
      </c>
      <c r="F182" s="36">
        <f>E182*D182</f>
        <v>7.73</v>
      </c>
    </row>
    <row r="183" spans="1:25">
      <c r="A183" s="347" t="s">
        <v>759</v>
      </c>
      <c r="B183" s="38" t="s">
        <v>760</v>
      </c>
      <c r="C183" s="39" t="s">
        <v>11</v>
      </c>
      <c r="D183" s="40">
        <f>D182</f>
        <v>0.13</v>
      </c>
      <c r="E183" s="358">
        <v>4.5199999999999996</v>
      </c>
      <c r="F183" s="36">
        <f>E183*D183</f>
        <v>0.59</v>
      </c>
    </row>
    <row r="184" spans="1:25">
      <c r="A184" s="560" t="s">
        <v>239</v>
      </c>
      <c r="B184" s="561"/>
      <c r="C184" s="561"/>
      <c r="D184" s="561"/>
      <c r="E184" s="562"/>
      <c r="F184" s="363">
        <f>SUM(F181:F183)</f>
        <v>18.86</v>
      </c>
    </row>
    <row r="185" spans="1:25">
      <c r="A185" s="560" t="s">
        <v>84</v>
      </c>
      <c r="B185" s="561"/>
      <c r="C185" s="561"/>
      <c r="D185" s="561"/>
      <c r="E185" s="562"/>
      <c r="F185" s="456">
        <f>F184</f>
        <v>18.86</v>
      </c>
    </row>
    <row r="186" spans="1:25">
      <c r="A186" s="341" t="s">
        <v>2</v>
      </c>
      <c r="B186" s="353" t="s">
        <v>62</v>
      </c>
      <c r="C186" s="353" t="s">
        <v>4</v>
      </c>
      <c r="D186" s="353" t="s">
        <v>63</v>
      </c>
      <c r="E186" s="353" t="s">
        <v>64</v>
      </c>
      <c r="F186" s="353" t="s">
        <v>65</v>
      </c>
    </row>
    <row r="187" spans="1:25" ht="21.75" customHeight="1">
      <c r="A187" s="349" t="str">
        <f>'ORÇAMENTO - CASA DE FORÇA'!A141</f>
        <v>14.4</v>
      </c>
      <c r="B187" s="568" t="s">
        <v>551</v>
      </c>
      <c r="C187" s="569"/>
      <c r="D187" s="569"/>
      <c r="E187" s="569"/>
      <c r="F187" s="570"/>
    </row>
    <row r="188" spans="1:25">
      <c r="A188" s="406"/>
      <c r="B188" s="571" t="s">
        <v>549</v>
      </c>
      <c r="C188" s="572"/>
      <c r="D188" s="572"/>
      <c r="E188" s="572"/>
      <c r="F188" s="573"/>
    </row>
    <row r="189" spans="1:25">
      <c r="A189" s="347" t="s">
        <v>564</v>
      </c>
      <c r="B189" s="38" t="s">
        <v>563</v>
      </c>
      <c r="C189" s="39" t="s">
        <v>558</v>
      </c>
      <c r="D189" s="40">
        <f>0.2*1</f>
        <v>0.2</v>
      </c>
      <c r="E189" s="358">
        <v>83.31</v>
      </c>
      <c r="F189" s="36">
        <f>E189*D189</f>
        <v>16.66</v>
      </c>
    </row>
    <row r="190" spans="1:25">
      <c r="A190" s="347" t="s">
        <v>554</v>
      </c>
      <c r="B190" s="38" t="s">
        <v>555</v>
      </c>
      <c r="C190" s="39" t="s">
        <v>553</v>
      </c>
      <c r="D190" s="40">
        <f>0.2*1*1</f>
        <v>0.2</v>
      </c>
      <c r="E190" s="358">
        <v>36.119999999999997</v>
      </c>
      <c r="F190" s="36">
        <f>E190*D190</f>
        <v>7.22</v>
      </c>
    </row>
    <row r="191" spans="1:25" ht="31.5">
      <c r="A191" s="347" t="s">
        <v>556</v>
      </c>
      <c r="B191" s="38" t="s">
        <v>557</v>
      </c>
      <c r="C191" s="39" t="s">
        <v>558</v>
      </c>
      <c r="D191" s="40" t="s">
        <v>559</v>
      </c>
      <c r="E191" s="358">
        <v>15.96</v>
      </c>
      <c r="F191" s="36">
        <f>E191*D191</f>
        <v>0.15</v>
      </c>
    </row>
    <row r="192" spans="1:25" ht="31.5">
      <c r="A192" s="347" t="s">
        <v>560</v>
      </c>
      <c r="B192" s="38" t="s">
        <v>561</v>
      </c>
      <c r="C192" s="39" t="s">
        <v>553</v>
      </c>
      <c r="D192" s="40" t="s">
        <v>562</v>
      </c>
      <c r="E192" s="358">
        <v>59.57</v>
      </c>
      <c r="F192" s="36">
        <f>E192*D192</f>
        <v>2.41</v>
      </c>
    </row>
    <row r="193" spans="1:6" ht="31.5">
      <c r="A193" s="347" t="s">
        <v>835</v>
      </c>
      <c r="B193" s="38" t="s">
        <v>496</v>
      </c>
      <c r="C193" s="39" t="s">
        <v>558</v>
      </c>
      <c r="D193" s="40">
        <f>0.2</f>
        <v>0.2</v>
      </c>
      <c r="E193" s="358">
        <v>35.200000000000003</v>
      </c>
      <c r="F193" s="36">
        <f>E193*D193</f>
        <v>7.04</v>
      </c>
    </row>
    <row r="194" spans="1:6">
      <c r="A194" s="560" t="s">
        <v>239</v>
      </c>
      <c r="B194" s="561"/>
      <c r="C194" s="561"/>
      <c r="D194" s="561"/>
      <c r="E194" s="562"/>
      <c r="F194" s="363">
        <f>SUM(F189:F193)</f>
        <v>33.479999999999997</v>
      </c>
    </row>
    <row r="195" spans="1:6">
      <c r="A195" s="560" t="s">
        <v>84</v>
      </c>
      <c r="B195" s="561"/>
      <c r="C195" s="561"/>
      <c r="D195" s="561"/>
      <c r="E195" s="562"/>
      <c r="F195" s="456">
        <f>F194</f>
        <v>33.479999999999997</v>
      </c>
    </row>
    <row r="196" spans="1:6">
      <c r="A196" s="558" t="s">
        <v>552</v>
      </c>
      <c r="B196" s="558"/>
      <c r="C196" s="558"/>
      <c r="D196" s="558"/>
      <c r="E196" s="558"/>
      <c r="F196" s="558"/>
    </row>
    <row r="197" spans="1:6">
      <c r="A197" s="341" t="s">
        <v>2</v>
      </c>
      <c r="B197" s="353" t="s">
        <v>62</v>
      </c>
      <c r="C197" s="353" t="s">
        <v>4</v>
      </c>
      <c r="D197" s="353" t="s">
        <v>63</v>
      </c>
      <c r="E197" s="353" t="s">
        <v>64</v>
      </c>
      <c r="F197" s="353" t="s">
        <v>65</v>
      </c>
    </row>
    <row r="198" spans="1:6" ht="21" customHeight="1">
      <c r="A198" s="23" t="str">
        <f>'ORÇAMENTO - CASA DE FORÇA'!A146</f>
        <v>15.3</v>
      </c>
      <c r="B198" s="559" t="s">
        <v>445</v>
      </c>
      <c r="C198" s="559"/>
      <c r="D198" s="559"/>
      <c r="E198" s="559"/>
      <c r="F198" s="559"/>
    </row>
    <row r="199" spans="1:6">
      <c r="A199" s="350"/>
      <c r="B199" s="563" t="s">
        <v>66</v>
      </c>
      <c r="C199" s="563"/>
      <c r="D199" s="563"/>
      <c r="E199" s="563"/>
      <c r="F199" s="563"/>
    </row>
    <row r="200" spans="1:6">
      <c r="A200" s="439">
        <v>88316</v>
      </c>
      <c r="B200" s="33" t="s">
        <v>520</v>
      </c>
      <c r="C200" s="27" t="s">
        <v>69</v>
      </c>
      <c r="D200" s="427">
        <v>3</v>
      </c>
      <c r="E200" s="395">
        <v>15.06</v>
      </c>
      <c r="F200" s="428">
        <f>D200*E200</f>
        <v>45.18</v>
      </c>
    </row>
    <row r="201" spans="1:6">
      <c r="A201" s="608" t="s">
        <v>72</v>
      </c>
      <c r="B201" s="608"/>
      <c r="C201" s="608"/>
      <c r="D201" s="608"/>
      <c r="E201" s="608"/>
      <c r="F201" s="429">
        <f>SUM(F200)</f>
        <v>45.18</v>
      </c>
    </row>
    <row r="202" spans="1:6">
      <c r="A202" s="608" t="s">
        <v>73</v>
      </c>
      <c r="B202" s="608"/>
      <c r="C202" s="608"/>
      <c r="D202" s="608"/>
      <c r="E202" s="608"/>
      <c r="F202" s="429">
        <f>SUM(F201:F201)</f>
        <v>45.18</v>
      </c>
    </row>
    <row r="203" spans="1:6">
      <c r="A203" s="351"/>
      <c r="B203" s="563" t="s">
        <v>74</v>
      </c>
      <c r="C203" s="563"/>
      <c r="D203" s="563"/>
      <c r="E203" s="563"/>
      <c r="F203" s="563"/>
    </row>
    <row r="204" spans="1:6" ht="31.5">
      <c r="A204" s="352" t="s">
        <v>543</v>
      </c>
      <c r="B204" s="430" t="s">
        <v>446</v>
      </c>
      <c r="C204" s="431" t="s">
        <v>18</v>
      </c>
      <c r="D204" s="432">
        <v>5</v>
      </c>
      <c r="E204" s="396">
        <v>20.239999999999998</v>
      </c>
      <c r="F204" s="428">
        <f>D204*E204</f>
        <v>101.2</v>
      </c>
    </row>
    <row r="205" spans="1:6" ht="31.5">
      <c r="A205" s="352" t="s">
        <v>544</v>
      </c>
      <c r="B205" s="430" t="s">
        <v>447</v>
      </c>
      <c r="C205" s="431" t="s">
        <v>18</v>
      </c>
      <c r="D205" s="432">
        <v>2</v>
      </c>
      <c r="E205" s="396">
        <v>32.630000000000003</v>
      </c>
      <c r="F205" s="428">
        <f>D205*E205</f>
        <v>65.260000000000005</v>
      </c>
    </row>
    <row r="206" spans="1:6" ht="31.5">
      <c r="A206" s="352" t="s">
        <v>543</v>
      </c>
      <c r="B206" s="430" t="s">
        <v>448</v>
      </c>
      <c r="C206" s="431" t="s">
        <v>18</v>
      </c>
      <c r="D206" s="432">
        <v>5</v>
      </c>
      <c r="E206" s="396">
        <v>20.239999999999998</v>
      </c>
      <c r="F206" s="428">
        <f>D206*E206</f>
        <v>101.2</v>
      </c>
    </row>
    <row r="207" spans="1:6" ht="31.5">
      <c r="A207" s="352" t="s">
        <v>543</v>
      </c>
      <c r="B207" s="430" t="s">
        <v>756</v>
      </c>
      <c r="C207" s="431" t="s">
        <v>18</v>
      </c>
      <c r="D207" s="432">
        <v>4</v>
      </c>
      <c r="E207" s="396">
        <v>20.239999999999998</v>
      </c>
      <c r="F207" s="428">
        <f>D207*E207</f>
        <v>80.959999999999994</v>
      </c>
    </row>
    <row r="208" spans="1:6" ht="31.5">
      <c r="A208" s="352" t="s">
        <v>545</v>
      </c>
      <c r="B208" s="430" t="s">
        <v>449</v>
      </c>
      <c r="C208" s="431" t="s">
        <v>18</v>
      </c>
      <c r="D208" s="432">
        <v>4</v>
      </c>
      <c r="E208" s="396">
        <v>34.450000000000003</v>
      </c>
      <c r="F208" s="428">
        <f>D208*E208</f>
        <v>137.80000000000001</v>
      </c>
    </row>
    <row r="209" spans="1:6">
      <c r="A209" s="440"/>
      <c r="B209" s="564" t="s">
        <v>82</v>
      </c>
      <c r="C209" s="565"/>
      <c r="D209" s="565"/>
      <c r="E209" s="566"/>
      <c r="F209" s="433">
        <f>SUM(F204:F208)</f>
        <v>486.42</v>
      </c>
    </row>
    <row r="210" spans="1:6">
      <c r="A210" s="567" t="s">
        <v>83</v>
      </c>
      <c r="B210" s="567"/>
      <c r="C210" s="567"/>
      <c r="D210" s="567"/>
      <c r="E210" s="567"/>
      <c r="F210" s="433">
        <f>F209+F202</f>
        <v>531.6</v>
      </c>
    </row>
    <row r="211" spans="1:6">
      <c r="A211" s="567" t="s">
        <v>84</v>
      </c>
      <c r="B211" s="567"/>
      <c r="C211" s="567"/>
      <c r="D211" s="567"/>
      <c r="E211" s="567"/>
      <c r="F211" s="456">
        <f>F210</f>
        <v>531.6</v>
      </c>
    </row>
    <row r="212" spans="1:6">
      <c r="A212" s="558">
        <f>'ORÇAMENTO - CASA DE FORÇA'!A148:D148</f>
        <v>16</v>
      </c>
      <c r="B212" s="558"/>
      <c r="C212" s="558"/>
      <c r="D212" s="558"/>
      <c r="E212" s="558"/>
      <c r="F212" s="558"/>
    </row>
    <row r="213" spans="1:6">
      <c r="A213" s="341" t="s">
        <v>2</v>
      </c>
      <c r="B213" s="353" t="s">
        <v>62</v>
      </c>
      <c r="C213" s="353" t="s">
        <v>4</v>
      </c>
      <c r="D213" s="353" t="s">
        <v>63</v>
      </c>
      <c r="E213" s="353" t="s">
        <v>64</v>
      </c>
      <c r="F213" s="353" t="s">
        <v>65</v>
      </c>
    </row>
    <row r="214" spans="1:6">
      <c r="A214" s="346" t="str">
        <f>'ORÇAMENTO - CASA DE FORÇA'!A149</f>
        <v>16.1</v>
      </c>
      <c r="B214" s="601" t="s">
        <v>427</v>
      </c>
      <c r="C214" s="601"/>
      <c r="D214" s="601"/>
      <c r="E214" s="601"/>
      <c r="F214" s="601"/>
    </row>
    <row r="215" spans="1:6">
      <c r="A215" s="356"/>
      <c r="B215" s="601" t="s">
        <v>66</v>
      </c>
      <c r="C215" s="601"/>
      <c r="D215" s="601"/>
      <c r="E215" s="601"/>
      <c r="F215" s="601"/>
    </row>
    <row r="216" spans="1:6">
      <c r="A216" s="348" t="s">
        <v>519</v>
      </c>
      <c r="B216" s="373" t="s">
        <v>520</v>
      </c>
      <c r="C216" s="34" t="s">
        <v>69</v>
      </c>
      <c r="D216" s="35">
        <v>0.25</v>
      </c>
      <c r="E216" s="358">
        <v>15.06</v>
      </c>
      <c r="F216" s="37">
        <f>D216*E216</f>
        <v>3.77</v>
      </c>
    </row>
    <row r="217" spans="1:6">
      <c r="A217" s="556" t="s">
        <v>72</v>
      </c>
      <c r="B217" s="556"/>
      <c r="C217" s="556"/>
      <c r="D217" s="556"/>
      <c r="E217" s="556"/>
      <c r="F217" s="374">
        <f>SUM(F216:F216)</f>
        <v>3.77</v>
      </c>
    </row>
    <row r="218" spans="1:6">
      <c r="A218" s="556" t="s">
        <v>73</v>
      </c>
      <c r="B218" s="556"/>
      <c r="C218" s="556"/>
      <c r="D218" s="556"/>
      <c r="E218" s="556"/>
      <c r="F218" s="374">
        <f>SUM(F217:F217)</f>
        <v>3.77</v>
      </c>
    </row>
    <row r="219" spans="1:6">
      <c r="A219" s="346"/>
      <c r="B219" s="601" t="s">
        <v>74</v>
      </c>
      <c r="C219" s="601"/>
      <c r="D219" s="601"/>
      <c r="E219" s="601"/>
      <c r="F219" s="601"/>
    </row>
    <row r="220" spans="1:6" ht="35.25" customHeight="1">
      <c r="A220" s="347" t="s">
        <v>408</v>
      </c>
      <c r="B220" s="33" t="s">
        <v>428</v>
      </c>
      <c r="C220" s="375" t="s">
        <v>18</v>
      </c>
      <c r="D220" s="35">
        <v>1</v>
      </c>
      <c r="E220" s="37">
        <v>678.38</v>
      </c>
      <c r="F220" s="37">
        <f>D220*E220</f>
        <v>678.38</v>
      </c>
    </row>
    <row r="221" spans="1:6">
      <c r="A221" s="600" t="s">
        <v>82</v>
      </c>
      <c r="B221" s="600"/>
      <c r="C221" s="600"/>
      <c r="D221" s="600"/>
      <c r="E221" s="600"/>
      <c r="F221" s="374">
        <f>SUM(F220:F220)</f>
        <v>678.38</v>
      </c>
    </row>
    <row r="222" spans="1:6">
      <c r="A222" s="600" t="s">
        <v>83</v>
      </c>
      <c r="B222" s="600"/>
      <c r="C222" s="600"/>
      <c r="D222" s="600"/>
      <c r="E222" s="600"/>
      <c r="F222" s="374">
        <f>SUM(F218+F221)</f>
        <v>682.15</v>
      </c>
    </row>
    <row r="223" spans="1:6">
      <c r="A223" s="600" t="s">
        <v>84</v>
      </c>
      <c r="B223" s="600"/>
      <c r="C223" s="600"/>
      <c r="D223" s="600"/>
      <c r="E223" s="600"/>
      <c r="F223" s="456">
        <f>F222</f>
        <v>682.15</v>
      </c>
    </row>
    <row r="224" spans="1:6">
      <c r="A224" s="558" t="s">
        <v>772</v>
      </c>
      <c r="B224" s="558"/>
      <c r="C224" s="558"/>
      <c r="D224" s="558"/>
      <c r="E224" s="558"/>
      <c r="F224" s="558"/>
    </row>
    <row r="225" spans="1:9">
      <c r="A225" s="341" t="s">
        <v>2</v>
      </c>
      <c r="B225" s="353" t="s">
        <v>62</v>
      </c>
      <c r="C225" s="353" t="s">
        <v>4</v>
      </c>
      <c r="D225" s="353" t="s">
        <v>63</v>
      </c>
      <c r="E225" s="353" t="s">
        <v>64</v>
      </c>
      <c r="F225" s="353" t="s">
        <v>65</v>
      </c>
    </row>
    <row r="226" spans="1:9">
      <c r="A226" s="407" t="str">
        <f>'ORÇAMENTO - CASA DE FORÇA'!A156</f>
        <v>18.1</v>
      </c>
      <c r="B226" s="557" t="str">
        <f>'ORÇAMENTO - CASA DE FORÇA'!C156</f>
        <v>Fornecimento e instalação de junta de borracha tamanho grande</v>
      </c>
      <c r="C226" s="557"/>
      <c r="D226" s="557"/>
      <c r="E226" s="557"/>
      <c r="F226" s="557"/>
    </row>
    <row r="227" spans="1:9">
      <c r="A227" s="344"/>
      <c r="B227" s="555" t="s">
        <v>66</v>
      </c>
      <c r="C227" s="555"/>
      <c r="D227" s="555"/>
      <c r="E227" s="555"/>
      <c r="F227" s="555"/>
    </row>
    <row r="228" spans="1:9">
      <c r="A228" s="398">
        <v>88243</v>
      </c>
      <c r="B228" s="38" t="s">
        <v>738</v>
      </c>
      <c r="C228" s="359" t="s">
        <v>69</v>
      </c>
      <c r="D228" s="399">
        <v>0.16669999999999999</v>
      </c>
      <c r="E228" s="419">
        <v>17.88</v>
      </c>
      <c r="F228" s="397">
        <f>ROUND(D228*E228,2)</f>
        <v>2.98</v>
      </c>
    </row>
    <row r="229" spans="1:9">
      <c r="A229" s="398">
        <v>88266</v>
      </c>
      <c r="B229" s="38" t="s">
        <v>737</v>
      </c>
      <c r="C229" s="359" t="s">
        <v>69</v>
      </c>
      <c r="D229" s="399">
        <f>D228</f>
        <v>0.16669999999999999</v>
      </c>
      <c r="E229" s="470">
        <v>21.04</v>
      </c>
      <c r="F229" s="397">
        <f>ROUND(D229*E229,2)</f>
        <v>3.51</v>
      </c>
      <c r="G229">
        <f>10/60</f>
        <v>0.16666666666666699</v>
      </c>
      <c r="I229" t="s">
        <v>787</v>
      </c>
    </row>
    <row r="230" spans="1:9">
      <c r="A230" s="554" t="s">
        <v>72</v>
      </c>
      <c r="B230" s="554"/>
      <c r="C230" s="554"/>
      <c r="D230" s="554"/>
      <c r="E230" s="554"/>
      <c r="F230" s="361">
        <f>SUM(F228:F229)</f>
        <v>6.49</v>
      </c>
    </row>
    <row r="231" spans="1:9">
      <c r="A231" s="556" t="s">
        <v>73</v>
      </c>
      <c r="B231" s="556"/>
      <c r="C231" s="556"/>
      <c r="D231" s="556"/>
      <c r="E231" s="556"/>
      <c r="F231" s="361">
        <f>SUM(F230:F230)</f>
        <v>6.49</v>
      </c>
    </row>
    <row r="232" spans="1:9">
      <c r="A232" s="406"/>
      <c r="B232" s="555" t="s">
        <v>74</v>
      </c>
      <c r="C232" s="555"/>
      <c r="D232" s="555"/>
      <c r="E232" s="555"/>
      <c r="F232" s="555"/>
    </row>
    <row r="233" spans="1:9">
      <c r="A233" s="345" t="s">
        <v>423</v>
      </c>
      <c r="B233" s="362" t="s">
        <v>785</v>
      </c>
      <c r="C233" s="359" t="s">
        <v>18</v>
      </c>
      <c r="D233" s="360">
        <v>1</v>
      </c>
      <c r="E233" s="358">
        <v>25</v>
      </c>
      <c r="F233" s="358">
        <f>ROUND(D233*E233,2)</f>
        <v>25</v>
      </c>
    </row>
    <row r="234" spans="1:9">
      <c r="A234" s="556" t="s">
        <v>82</v>
      </c>
      <c r="B234" s="556"/>
      <c r="C234" s="556"/>
      <c r="D234" s="556"/>
      <c r="E234" s="556"/>
      <c r="F234" s="361">
        <f>SUM(F233:F233)</f>
        <v>25</v>
      </c>
    </row>
    <row r="235" spans="1:9">
      <c r="A235" s="554" t="s">
        <v>83</v>
      </c>
      <c r="B235" s="554"/>
      <c r="C235" s="554"/>
      <c r="D235" s="554"/>
      <c r="E235" s="554"/>
      <c r="F235" s="361">
        <f>SUM(F231+F234)</f>
        <v>31.49</v>
      </c>
    </row>
    <row r="236" spans="1:9">
      <c r="A236" s="554" t="s">
        <v>84</v>
      </c>
      <c r="B236" s="554"/>
      <c r="C236" s="554"/>
      <c r="D236" s="554"/>
      <c r="E236" s="554"/>
      <c r="F236" s="456">
        <f>F235</f>
        <v>31.49</v>
      </c>
    </row>
    <row r="237" spans="1:9">
      <c r="A237" s="341" t="s">
        <v>2</v>
      </c>
      <c r="B237" s="353" t="s">
        <v>62</v>
      </c>
      <c r="C237" s="353" t="s">
        <v>4</v>
      </c>
      <c r="D237" s="353" t="s">
        <v>63</v>
      </c>
      <c r="E237" s="353" t="s">
        <v>64</v>
      </c>
      <c r="F237" s="353" t="s">
        <v>65</v>
      </c>
    </row>
    <row r="238" spans="1:9">
      <c r="A238" s="466" t="str">
        <f>'ORÇAMENTO - CASA DE FORÇA'!A157</f>
        <v>18.2</v>
      </c>
      <c r="B238" s="557" t="str">
        <f>'ORÇAMENTO - CASA DE FORÇA'!C157</f>
        <v>Fornecimento e instalação de parafuso  sextavado INOX 3/8" x 3/4" com arruela lisa</v>
      </c>
      <c r="C238" s="557"/>
      <c r="D238" s="557"/>
      <c r="E238" s="557"/>
      <c r="F238" s="557"/>
    </row>
    <row r="239" spans="1:9">
      <c r="A239" s="344"/>
      <c r="B239" s="555" t="s">
        <v>66</v>
      </c>
      <c r="C239" s="555"/>
      <c r="D239" s="555"/>
      <c r="E239" s="555"/>
      <c r="F239" s="555"/>
    </row>
    <row r="240" spans="1:9">
      <c r="A240" s="398">
        <v>88243</v>
      </c>
      <c r="B240" s="38" t="s">
        <v>738</v>
      </c>
      <c r="C240" s="359" t="s">
        <v>69</v>
      </c>
      <c r="D240" s="399">
        <v>0.16669999999999999</v>
      </c>
      <c r="E240" s="419">
        <v>17.88</v>
      </c>
      <c r="F240" s="397">
        <f>ROUND(D240*E240,2)</f>
        <v>2.98</v>
      </c>
    </row>
    <row r="241" spans="1:6">
      <c r="A241" s="398">
        <v>88266</v>
      </c>
      <c r="B241" s="38" t="s">
        <v>737</v>
      </c>
      <c r="C241" s="359" t="s">
        <v>69</v>
      </c>
      <c r="D241" s="399">
        <f>D240</f>
        <v>0.16669999999999999</v>
      </c>
      <c r="E241" s="470">
        <v>21.04</v>
      </c>
      <c r="F241" s="397">
        <f>ROUND(D241*E241,2)</f>
        <v>3.51</v>
      </c>
    </row>
    <row r="242" spans="1:6">
      <c r="A242" s="554" t="s">
        <v>72</v>
      </c>
      <c r="B242" s="554"/>
      <c r="C242" s="554"/>
      <c r="D242" s="554"/>
      <c r="E242" s="554"/>
      <c r="F242" s="361">
        <f>SUM(F240:F241)</f>
        <v>6.49</v>
      </c>
    </row>
    <row r="243" spans="1:6">
      <c r="A243" s="556" t="s">
        <v>73</v>
      </c>
      <c r="B243" s="556"/>
      <c r="C243" s="556"/>
      <c r="D243" s="556"/>
      <c r="E243" s="556"/>
      <c r="F243" s="361">
        <f>SUM(F242:F242)</f>
        <v>6.49</v>
      </c>
    </row>
    <row r="244" spans="1:6">
      <c r="A244" s="464"/>
      <c r="B244" s="555" t="s">
        <v>74</v>
      </c>
      <c r="C244" s="555"/>
      <c r="D244" s="555"/>
      <c r="E244" s="555"/>
      <c r="F244" s="555"/>
    </row>
    <row r="245" spans="1:6">
      <c r="A245" s="345" t="s">
        <v>423</v>
      </c>
      <c r="B245" s="362" t="s">
        <v>786</v>
      </c>
      <c r="C245" s="359" t="s">
        <v>18</v>
      </c>
      <c r="D245" s="360">
        <v>1</v>
      </c>
      <c r="E245" s="358">
        <v>10</v>
      </c>
      <c r="F245" s="358">
        <f>ROUND(D245*E245,2)</f>
        <v>10</v>
      </c>
    </row>
    <row r="246" spans="1:6">
      <c r="A246" s="556" t="s">
        <v>82</v>
      </c>
      <c r="B246" s="556"/>
      <c r="C246" s="556"/>
      <c r="D246" s="556"/>
      <c r="E246" s="556"/>
      <c r="F246" s="361">
        <f>SUM(F245:F245)</f>
        <v>10</v>
      </c>
    </row>
    <row r="247" spans="1:6">
      <c r="A247" s="554" t="s">
        <v>83</v>
      </c>
      <c r="B247" s="554"/>
      <c r="C247" s="554"/>
      <c r="D247" s="554"/>
      <c r="E247" s="554"/>
      <c r="F247" s="361">
        <f>SUM(F243+F246)</f>
        <v>16.489999999999998</v>
      </c>
    </row>
    <row r="248" spans="1:6">
      <c r="A248" s="554" t="s">
        <v>84</v>
      </c>
      <c r="B248" s="554"/>
      <c r="C248" s="554"/>
      <c r="D248" s="554"/>
      <c r="E248" s="554"/>
      <c r="F248" s="456">
        <f>F247</f>
        <v>16.489999999999998</v>
      </c>
    </row>
    <row r="249" spans="1:6">
      <c r="A249" s="341" t="s">
        <v>2</v>
      </c>
      <c r="B249" s="353" t="s">
        <v>62</v>
      </c>
      <c r="C249" s="353" t="s">
        <v>4</v>
      </c>
      <c r="D249" s="353" t="s">
        <v>63</v>
      </c>
      <c r="E249" s="353" t="s">
        <v>64</v>
      </c>
      <c r="F249" s="353" t="s">
        <v>65</v>
      </c>
    </row>
    <row r="250" spans="1:6">
      <c r="A250" s="466" t="str">
        <f>'ORÇAMENTO - CASA DE FORÇA'!A158</f>
        <v>18.3</v>
      </c>
      <c r="B250" s="557" t="str">
        <f>'ORÇAMENTO - CASA DE FORÇA'!C158</f>
        <v>Fornecimento e instalação de transformador de isolamento 30/45W - 6.6 A/6.6A - 5kv - 60 hz</v>
      </c>
      <c r="C250" s="557"/>
      <c r="D250" s="557"/>
      <c r="E250" s="557"/>
      <c r="F250" s="557"/>
    </row>
    <row r="251" spans="1:6">
      <c r="A251" s="344"/>
      <c r="B251" s="555" t="s">
        <v>66</v>
      </c>
      <c r="C251" s="555"/>
      <c r="D251" s="555"/>
      <c r="E251" s="555"/>
      <c r="F251" s="555"/>
    </row>
    <row r="252" spans="1:6">
      <c r="A252" s="398">
        <v>88243</v>
      </c>
      <c r="B252" s="38" t="s">
        <v>738</v>
      </c>
      <c r="C252" s="359" t="s">
        <v>69</v>
      </c>
      <c r="D252" s="399">
        <v>1.5</v>
      </c>
      <c r="E252" s="419">
        <v>17.88</v>
      </c>
      <c r="F252" s="397">
        <f>ROUND(D252*E252,2)</f>
        <v>26.82</v>
      </c>
    </row>
    <row r="253" spans="1:6">
      <c r="A253" s="398">
        <v>88266</v>
      </c>
      <c r="B253" s="38" t="s">
        <v>737</v>
      </c>
      <c r="C253" s="359" t="s">
        <v>69</v>
      </c>
      <c r="D253" s="399">
        <v>1.5</v>
      </c>
      <c r="E253" s="470">
        <v>21.04</v>
      </c>
      <c r="F253" s="397">
        <f>ROUND(D253*E253,2)</f>
        <v>31.56</v>
      </c>
    </row>
    <row r="254" spans="1:6">
      <c r="A254" s="554" t="s">
        <v>72</v>
      </c>
      <c r="B254" s="554"/>
      <c r="C254" s="554"/>
      <c r="D254" s="554"/>
      <c r="E254" s="554"/>
      <c r="F254" s="361">
        <f>SUM(F252:F253)</f>
        <v>58.38</v>
      </c>
    </row>
    <row r="255" spans="1:6">
      <c r="A255" s="556" t="s">
        <v>73</v>
      </c>
      <c r="B255" s="556"/>
      <c r="C255" s="556"/>
      <c r="D255" s="556"/>
      <c r="E255" s="556"/>
      <c r="F255" s="361">
        <f>SUM(F254:F254)</f>
        <v>58.38</v>
      </c>
    </row>
    <row r="256" spans="1:6">
      <c r="A256" s="464"/>
      <c r="B256" s="555" t="s">
        <v>74</v>
      </c>
      <c r="C256" s="555"/>
      <c r="D256" s="555"/>
      <c r="E256" s="555"/>
      <c r="F256" s="555"/>
    </row>
    <row r="257" spans="1:7">
      <c r="A257" s="345" t="s">
        <v>423</v>
      </c>
      <c r="B257" s="362" t="s">
        <v>788</v>
      </c>
      <c r="C257" s="359" t="s">
        <v>18</v>
      </c>
      <c r="D257" s="360">
        <v>1</v>
      </c>
      <c r="E257" s="358">
        <v>495</v>
      </c>
      <c r="F257" s="358">
        <f>ROUND(D257*E257,2)</f>
        <v>495</v>
      </c>
    </row>
    <row r="258" spans="1:7">
      <c r="A258" s="556" t="s">
        <v>82</v>
      </c>
      <c r="B258" s="556"/>
      <c r="C258" s="556"/>
      <c r="D258" s="556"/>
      <c r="E258" s="556"/>
      <c r="F258" s="361">
        <f>SUM(F257:F257)</f>
        <v>495</v>
      </c>
    </row>
    <row r="259" spans="1:7">
      <c r="A259" s="554" t="s">
        <v>83</v>
      </c>
      <c r="B259" s="554"/>
      <c r="C259" s="554"/>
      <c r="D259" s="554"/>
      <c r="E259" s="554"/>
      <c r="F259" s="361">
        <f>SUM(F255+F258)</f>
        <v>553.38</v>
      </c>
    </row>
    <row r="260" spans="1:7">
      <c r="A260" s="554" t="s">
        <v>84</v>
      </c>
      <c r="B260" s="554"/>
      <c r="C260" s="554"/>
      <c r="D260" s="554"/>
      <c r="E260" s="554"/>
      <c r="F260" s="456">
        <f>F259</f>
        <v>553.38</v>
      </c>
    </row>
    <row r="261" spans="1:7">
      <c r="A261" s="341" t="s">
        <v>2</v>
      </c>
      <c r="B261" s="353" t="s">
        <v>62</v>
      </c>
      <c r="C261" s="353" t="s">
        <v>4</v>
      </c>
      <c r="D261" s="353" t="s">
        <v>63</v>
      </c>
      <c r="E261" s="353" t="s">
        <v>64</v>
      </c>
      <c r="F261" s="353" t="s">
        <v>65</v>
      </c>
    </row>
    <row r="262" spans="1:7">
      <c r="A262" s="466" t="str">
        <f>'ORÇAMENTO - CASA DE FORÇA'!A159</f>
        <v>18.4</v>
      </c>
      <c r="B262" s="557" t="str">
        <f>'ORÇAMENTO - CASA DE FORÇA'!C159</f>
        <v xml:space="preserve">Fornecimento e instalação de placa suporte para luminária SN-05 </v>
      </c>
      <c r="C262" s="557"/>
      <c r="D262" s="557"/>
      <c r="E262" s="557"/>
      <c r="F262" s="557"/>
    </row>
    <row r="263" spans="1:7">
      <c r="A263" s="344"/>
      <c r="B263" s="555" t="s">
        <v>66</v>
      </c>
      <c r="C263" s="555"/>
      <c r="D263" s="555"/>
      <c r="E263" s="555"/>
      <c r="F263" s="555"/>
    </row>
    <row r="264" spans="1:7">
      <c r="A264" s="398">
        <v>88243</v>
      </c>
      <c r="B264" s="38" t="s">
        <v>738</v>
      </c>
      <c r="C264" s="359" t="s">
        <v>69</v>
      </c>
      <c r="D264" s="399">
        <v>0.25</v>
      </c>
      <c r="E264" s="419">
        <v>17.88</v>
      </c>
      <c r="F264" s="397">
        <f>ROUND(D264*E264,2)</f>
        <v>4.47</v>
      </c>
      <c r="G264">
        <f>15/60</f>
        <v>0.25</v>
      </c>
    </row>
    <row r="265" spans="1:7">
      <c r="A265" s="398">
        <v>88266</v>
      </c>
      <c r="B265" s="38" t="s">
        <v>737</v>
      </c>
      <c r="C265" s="359" t="s">
        <v>69</v>
      </c>
      <c r="D265" s="399">
        <v>0.25</v>
      </c>
      <c r="E265" s="470">
        <v>21.04</v>
      </c>
      <c r="F265" s="397">
        <f>ROUND(D265*E265,2)</f>
        <v>5.26</v>
      </c>
    </row>
    <row r="266" spans="1:7">
      <c r="A266" s="554" t="s">
        <v>72</v>
      </c>
      <c r="B266" s="554"/>
      <c r="C266" s="554"/>
      <c r="D266" s="554"/>
      <c r="E266" s="554"/>
      <c r="F266" s="361">
        <f>SUM(F264:F265)</f>
        <v>9.73</v>
      </c>
    </row>
    <row r="267" spans="1:7">
      <c r="A267" s="556" t="s">
        <v>73</v>
      </c>
      <c r="B267" s="556"/>
      <c r="C267" s="556"/>
      <c r="D267" s="556"/>
      <c r="E267" s="556"/>
      <c r="F267" s="361">
        <f>SUM(F266:F266)</f>
        <v>9.73</v>
      </c>
    </row>
    <row r="268" spans="1:7">
      <c r="A268" s="464"/>
      <c r="B268" s="555" t="s">
        <v>74</v>
      </c>
      <c r="C268" s="555"/>
      <c r="D268" s="555"/>
      <c r="E268" s="555"/>
      <c r="F268" s="555"/>
    </row>
    <row r="269" spans="1:7">
      <c r="A269" s="345" t="s">
        <v>423</v>
      </c>
      <c r="B269" s="362" t="s">
        <v>775</v>
      </c>
      <c r="C269" s="359" t="s">
        <v>18</v>
      </c>
      <c r="D269" s="360">
        <v>1</v>
      </c>
      <c r="E269" s="358">
        <v>195</v>
      </c>
      <c r="F269" s="358">
        <f>ROUND(D269*E269,2)</f>
        <v>195</v>
      </c>
    </row>
    <row r="270" spans="1:7">
      <c r="A270" s="556" t="s">
        <v>82</v>
      </c>
      <c r="B270" s="556"/>
      <c r="C270" s="556"/>
      <c r="D270" s="556"/>
      <c r="E270" s="556"/>
      <c r="F270" s="361">
        <f>SUM(F269:F269)</f>
        <v>195</v>
      </c>
    </row>
    <row r="271" spans="1:7">
      <c r="A271" s="554" t="s">
        <v>83</v>
      </c>
      <c r="B271" s="554"/>
      <c r="C271" s="554"/>
      <c r="D271" s="554"/>
      <c r="E271" s="554"/>
      <c r="F271" s="361">
        <f>SUM(F267+F270)</f>
        <v>204.73</v>
      </c>
    </row>
    <row r="272" spans="1:7">
      <c r="A272" s="554" t="s">
        <v>84</v>
      </c>
      <c r="B272" s="554"/>
      <c r="C272" s="554"/>
      <c r="D272" s="554"/>
      <c r="E272" s="554"/>
      <c r="F272" s="456">
        <f>F271</f>
        <v>204.73</v>
      </c>
    </row>
    <row r="273" spans="1:6">
      <c r="A273" s="341" t="s">
        <v>2</v>
      </c>
      <c r="B273" s="353" t="s">
        <v>62</v>
      </c>
      <c r="C273" s="353" t="s">
        <v>4</v>
      </c>
      <c r="D273" s="353" t="s">
        <v>63</v>
      </c>
      <c r="E273" s="353" t="s">
        <v>64</v>
      </c>
      <c r="F273" s="353" t="s">
        <v>65</v>
      </c>
    </row>
    <row r="274" spans="1:6">
      <c r="A274" s="466" t="str">
        <f>'ORÇAMENTO - CASA DE FORÇA'!A160</f>
        <v>18.5</v>
      </c>
      <c r="B274" s="557" t="str">
        <f>'ORÇAMENTO - CASA DE FORÇA'!C160</f>
        <v>Fornecimento e instalação de corpo de luminária elevada SN-05 - 1/1.2"</v>
      </c>
      <c r="C274" s="557"/>
      <c r="D274" s="557"/>
      <c r="E274" s="557"/>
      <c r="F274" s="557"/>
    </row>
    <row r="275" spans="1:6">
      <c r="A275" s="344"/>
      <c r="B275" s="555" t="s">
        <v>66</v>
      </c>
      <c r="C275" s="555"/>
      <c r="D275" s="555"/>
      <c r="E275" s="555"/>
      <c r="F275" s="555"/>
    </row>
    <row r="276" spans="1:6">
      <c r="A276" s="398">
        <v>88243</v>
      </c>
      <c r="B276" s="38" t="s">
        <v>738</v>
      </c>
      <c r="C276" s="359" t="s">
        <v>69</v>
      </c>
      <c r="D276" s="399">
        <v>1</v>
      </c>
      <c r="E276" s="419">
        <v>17.88</v>
      </c>
      <c r="F276" s="397">
        <f>ROUND(D276*E276,2)</f>
        <v>17.88</v>
      </c>
    </row>
    <row r="277" spans="1:6">
      <c r="A277" s="398">
        <v>88266</v>
      </c>
      <c r="B277" s="38" t="s">
        <v>737</v>
      </c>
      <c r="C277" s="359" t="s">
        <v>69</v>
      </c>
      <c r="D277" s="399">
        <v>1</v>
      </c>
      <c r="E277" s="470">
        <v>21.04</v>
      </c>
      <c r="F277" s="397">
        <f>ROUND(D277*E277,2)</f>
        <v>21.04</v>
      </c>
    </row>
    <row r="278" spans="1:6">
      <c r="A278" s="554" t="s">
        <v>72</v>
      </c>
      <c r="B278" s="554"/>
      <c r="C278" s="554"/>
      <c r="D278" s="554"/>
      <c r="E278" s="554"/>
      <c r="F278" s="361">
        <f>SUM(F276:F277)</f>
        <v>38.92</v>
      </c>
    </row>
    <row r="279" spans="1:6">
      <c r="A279" s="556" t="s">
        <v>73</v>
      </c>
      <c r="B279" s="556"/>
      <c r="C279" s="556"/>
      <c r="D279" s="556"/>
      <c r="E279" s="556"/>
      <c r="F279" s="361">
        <f>SUM(F278:F278)</f>
        <v>38.92</v>
      </c>
    </row>
    <row r="280" spans="1:6">
      <c r="A280" s="464"/>
      <c r="B280" s="555" t="s">
        <v>74</v>
      </c>
      <c r="C280" s="555"/>
      <c r="D280" s="555"/>
      <c r="E280" s="555"/>
      <c r="F280" s="555"/>
    </row>
    <row r="281" spans="1:6">
      <c r="A281" s="345" t="s">
        <v>423</v>
      </c>
      <c r="B281" s="362" t="s">
        <v>776</v>
      </c>
      <c r="C281" s="359" t="s">
        <v>18</v>
      </c>
      <c r="D281" s="360">
        <v>1</v>
      </c>
      <c r="E281" s="358">
        <v>350</v>
      </c>
      <c r="F281" s="358">
        <f>ROUND(D281*E281,2)</f>
        <v>350</v>
      </c>
    </row>
    <row r="282" spans="1:6">
      <c r="A282" s="556" t="s">
        <v>82</v>
      </c>
      <c r="B282" s="556"/>
      <c r="C282" s="556"/>
      <c r="D282" s="556"/>
      <c r="E282" s="556"/>
      <c r="F282" s="361">
        <f>SUM(F281:F281)</f>
        <v>350</v>
      </c>
    </row>
    <row r="283" spans="1:6">
      <c r="A283" s="554" t="s">
        <v>83</v>
      </c>
      <c r="B283" s="554"/>
      <c r="C283" s="554"/>
      <c r="D283" s="554"/>
      <c r="E283" s="554"/>
      <c r="F283" s="361">
        <f>SUM(F279+F282)</f>
        <v>388.92</v>
      </c>
    </row>
    <row r="284" spans="1:6">
      <c r="A284" s="554" t="s">
        <v>84</v>
      </c>
      <c r="B284" s="554"/>
      <c r="C284" s="554"/>
      <c r="D284" s="554"/>
      <c r="E284" s="554"/>
      <c r="F284" s="456">
        <f>F283</f>
        <v>388.92</v>
      </c>
    </row>
    <row r="285" spans="1:6">
      <c r="A285" s="341" t="s">
        <v>2</v>
      </c>
      <c r="B285" s="353" t="s">
        <v>62</v>
      </c>
      <c r="C285" s="353" t="s">
        <v>4</v>
      </c>
      <c r="D285" s="353" t="s">
        <v>63</v>
      </c>
      <c r="E285" s="353" t="s">
        <v>64</v>
      </c>
      <c r="F285" s="353" t="s">
        <v>65</v>
      </c>
    </row>
    <row r="286" spans="1:6">
      <c r="A286" s="466" t="str">
        <f>'ORÇAMENTO - CASA DE FORÇA'!A161</f>
        <v>18.6</v>
      </c>
      <c r="B286" s="557" t="str">
        <f>'ORÇAMENTO - CASA DE FORÇA'!C161</f>
        <v>Fornecimento e instalação de braçadeira INOX 316 do globo SN-05</v>
      </c>
      <c r="C286" s="557"/>
      <c r="D286" s="557"/>
      <c r="E286" s="557"/>
      <c r="F286" s="557"/>
    </row>
    <row r="287" spans="1:6">
      <c r="A287" s="344"/>
      <c r="B287" s="555" t="s">
        <v>66</v>
      </c>
      <c r="C287" s="555"/>
      <c r="D287" s="555"/>
      <c r="E287" s="555"/>
      <c r="F287" s="555"/>
    </row>
    <row r="288" spans="1:6">
      <c r="A288" s="398">
        <v>88243</v>
      </c>
      <c r="B288" s="38" t="s">
        <v>738</v>
      </c>
      <c r="C288" s="359" t="s">
        <v>69</v>
      </c>
      <c r="D288" s="399">
        <v>0.16669999999999999</v>
      </c>
      <c r="E288" s="419">
        <v>17.88</v>
      </c>
      <c r="F288" s="397">
        <f>ROUND(D288*E288,2)</f>
        <v>2.98</v>
      </c>
    </row>
    <row r="289" spans="1:6">
      <c r="A289" s="398">
        <v>88266</v>
      </c>
      <c r="B289" s="38" t="s">
        <v>737</v>
      </c>
      <c r="C289" s="359" t="s">
        <v>69</v>
      </c>
      <c r="D289" s="399">
        <f>D288</f>
        <v>0.16669999999999999</v>
      </c>
      <c r="E289" s="470">
        <v>21.04</v>
      </c>
      <c r="F289" s="397">
        <f>ROUND(D289*E289,2)</f>
        <v>3.51</v>
      </c>
    </row>
    <row r="290" spans="1:6">
      <c r="A290" s="554" t="s">
        <v>72</v>
      </c>
      <c r="B290" s="554"/>
      <c r="C290" s="554"/>
      <c r="D290" s="554"/>
      <c r="E290" s="554"/>
      <c r="F290" s="361">
        <f>SUM(F288:F289)</f>
        <v>6.49</v>
      </c>
    </row>
    <row r="291" spans="1:6">
      <c r="A291" s="556" t="s">
        <v>73</v>
      </c>
      <c r="B291" s="556"/>
      <c r="C291" s="556"/>
      <c r="D291" s="556"/>
      <c r="E291" s="556"/>
      <c r="F291" s="361">
        <f>SUM(F290:F290)</f>
        <v>6.49</v>
      </c>
    </row>
    <row r="292" spans="1:6">
      <c r="A292" s="464"/>
      <c r="B292" s="555" t="s">
        <v>74</v>
      </c>
      <c r="C292" s="555"/>
      <c r="D292" s="555"/>
      <c r="E292" s="555"/>
      <c r="F292" s="555"/>
    </row>
    <row r="293" spans="1:6">
      <c r="A293" s="345" t="s">
        <v>423</v>
      </c>
      <c r="B293" s="362" t="s">
        <v>777</v>
      </c>
      <c r="C293" s="359" t="s">
        <v>18</v>
      </c>
      <c r="D293" s="360">
        <v>1</v>
      </c>
      <c r="E293" s="358">
        <v>65</v>
      </c>
      <c r="F293" s="358">
        <f>ROUND(D293*E293,2)</f>
        <v>65</v>
      </c>
    </row>
    <row r="294" spans="1:6">
      <c r="A294" s="556" t="s">
        <v>82</v>
      </c>
      <c r="B294" s="556"/>
      <c r="C294" s="556"/>
      <c r="D294" s="556"/>
      <c r="E294" s="556"/>
      <c r="F294" s="361">
        <f>SUM(F293:F293)</f>
        <v>65</v>
      </c>
    </row>
    <row r="295" spans="1:6">
      <c r="A295" s="554" t="s">
        <v>83</v>
      </c>
      <c r="B295" s="554"/>
      <c r="C295" s="554"/>
      <c r="D295" s="554"/>
      <c r="E295" s="554"/>
      <c r="F295" s="361">
        <f>SUM(F291+F294)</f>
        <v>71.489999999999995</v>
      </c>
    </row>
    <row r="296" spans="1:6">
      <c r="A296" s="554" t="s">
        <v>84</v>
      </c>
      <c r="B296" s="554"/>
      <c r="C296" s="554"/>
      <c r="D296" s="554"/>
      <c r="E296" s="554"/>
      <c r="F296" s="456">
        <f>F295</f>
        <v>71.489999999999995</v>
      </c>
    </row>
    <row r="297" spans="1:6">
      <c r="A297" s="341" t="s">
        <v>2</v>
      </c>
      <c r="B297" s="353" t="s">
        <v>62</v>
      </c>
      <c r="C297" s="353" t="s">
        <v>4</v>
      </c>
      <c r="D297" s="353" t="s">
        <v>63</v>
      </c>
      <c r="E297" s="353" t="s">
        <v>64</v>
      </c>
      <c r="F297" s="353" t="s">
        <v>65</v>
      </c>
    </row>
    <row r="298" spans="1:6">
      <c r="A298" s="466" t="str">
        <f>'ORÇAMENTO - CASA DE FORÇA'!A162</f>
        <v>18.7</v>
      </c>
      <c r="B298" s="557" t="s">
        <v>778</v>
      </c>
      <c r="C298" s="557"/>
      <c r="D298" s="557"/>
      <c r="E298" s="557"/>
      <c r="F298" s="557"/>
    </row>
    <row r="299" spans="1:6">
      <c r="A299" s="344"/>
      <c r="B299" s="555" t="s">
        <v>66</v>
      </c>
      <c r="C299" s="555"/>
      <c r="D299" s="555"/>
      <c r="E299" s="555"/>
      <c r="F299" s="555"/>
    </row>
    <row r="300" spans="1:6">
      <c r="A300" s="398">
        <v>88243</v>
      </c>
      <c r="B300" s="38" t="s">
        <v>738</v>
      </c>
      <c r="C300" s="359" t="s">
        <v>69</v>
      </c>
      <c r="D300" s="399">
        <v>0.5</v>
      </c>
      <c r="E300" s="419">
        <v>17.88</v>
      </c>
      <c r="F300" s="397">
        <f>ROUND(D300*E300,2)</f>
        <v>8.94</v>
      </c>
    </row>
    <row r="301" spans="1:6">
      <c r="A301" s="398">
        <v>88266</v>
      </c>
      <c r="B301" s="38" t="s">
        <v>737</v>
      </c>
      <c r="C301" s="359" t="s">
        <v>69</v>
      </c>
      <c r="D301" s="399">
        <v>0.5</v>
      </c>
      <c r="E301" s="470">
        <v>21.04</v>
      </c>
      <c r="F301" s="397">
        <f>ROUND(D301*E301,2)</f>
        <v>10.52</v>
      </c>
    </row>
    <row r="302" spans="1:6">
      <c r="A302" s="554" t="s">
        <v>72</v>
      </c>
      <c r="B302" s="554"/>
      <c r="C302" s="554"/>
      <c r="D302" s="554"/>
      <c r="E302" s="554"/>
      <c r="F302" s="361">
        <f>SUM(F300:F301)</f>
        <v>19.46</v>
      </c>
    </row>
    <row r="303" spans="1:6">
      <c r="A303" s="556" t="s">
        <v>73</v>
      </c>
      <c r="B303" s="556"/>
      <c r="C303" s="556"/>
      <c r="D303" s="556"/>
      <c r="E303" s="556"/>
      <c r="F303" s="361">
        <f>SUM(F302:F302)</f>
        <v>19.46</v>
      </c>
    </row>
    <row r="304" spans="1:6">
      <c r="A304" s="464"/>
      <c r="B304" s="555" t="s">
        <v>74</v>
      </c>
      <c r="C304" s="555"/>
      <c r="D304" s="555"/>
      <c r="E304" s="555"/>
      <c r="F304" s="555"/>
    </row>
    <row r="305" spans="1:6">
      <c r="A305" s="345" t="s">
        <v>423</v>
      </c>
      <c r="B305" s="362" t="s">
        <v>778</v>
      </c>
      <c r="C305" s="359" t="s">
        <v>18</v>
      </c>
      <c r="D305" s="360">
        <v>1</v>
      </c>
      <c r="E305" s="358">
        <v>900</v>
      </c>
      <c r="F305" s="358">
        <f>ROUND(D305*E305,2)</f>
        <v>900</v>
      </c>
    </row>
    <row r="306" spans="1:6">
      <c r="A306" s="556" t="s">
        <v>82</v>
      </c>
      <c r="B306" s="556"/>
      <c r="C306" s="556"/>
      <c r="D306" s="556"/>
      <c r="E306" s="556"/>
      <c r="F306" s="361">
        <f>SUM(F305:F305)</f>
        <v>900</v>
      </c>
    </row>
    <row r="307" spans="1:6">
      <c r="A307" s="554" t="s">
        <v>83</v>
      </c>
      <c r="B307" s="554"/>
      <c r="C307" s="554"/>
      <c r="D307" s="554"/>
      <c r="E307" s="554"/>
      <c r="F307" s="361">
        <f>SUM(F303+F306)</f>
        <v>919.46</v>
      </c>
    </row>
    <row r="308" spans="1:6">
      <c r="A308" s="554" t="s">
        <v>84</v>
      </c>
      <c r="B308" s="554"/>
      <c r="C308" s="554"/>
      <c r="D308" s="554"/>
      <c r="E308" s="554"/>
      <c r="F308" s="456">
        <f>F307</f>
        <v>919.46</v>
      </c>
    </row>
    <row r="309" spans="1:6">
      <c r="A309" s="341" t="s">
        <v>2</v>
      </c>
      <c r="B309" s="353" t="s">
        <v>62</v>
      </c>
      <c r="C309" s="353" t="s">
        <v>4</v>
      </c>
      <c r="D309" s="353" t="s">
        <v>63</v>
      </c>
      <c r="E309" s="353" t="s">
        <v>64</v>
      </c>
      <c r="F309" s="353" t="s">
        <v>65</v>
      </c>
    </row>
    <row r="310" spans="1:6">
      <c r="A310" s="466" t="str">
        <f>'ORÇAMENTO - CASA DE FORÇA'!A163</f>
        <v>18.8</v>
      </c>
      <c r="B310" s="557" t="str">
        <f>'ORÇAMENTO - CASA DE FORÇA'!C163</f>
        <v>Fornecimento e instalação de globo prismático AZUL</v>
      </c>
      <c r="C310" s="557"/>
      <c r="D310" s="557"/>
      <c r="E310" s="557"/>
      <c r="F310" s="557"/>
    </row>
    <row r="311" spans="1:6">
      <c r="A311" s="344"/>
      <c r="B311" s="555" t="s">
        <v>66</v>
      </c>
      <c r="C311" s="555"/>
      <c r="D311" s="555"/>
      <c r="E311" s="555"/>
      <c r="F311" s="555"/>
    </row>
    <row r="312" spans="1:6">
      <c r="A312" s="398">
        <v>88243</v>
      </c>
      <c r="B312" s="38" t="s">
        <v>738</v>
      </c>
      <c r="C312" s="359" t="s">
        <v>69</v>
      </c>
      <c r="D312" s="399">
        <v>0.5</v>
      </c>
      <c r="E312" s="419">
        <v>17.88</v>
      </c>
      <c r="F312" s="397">
        <f>ROUND(D312*E312,2)</f>
        <v>8.94</v>
      </c>
    </row>
    <row r="313" spans="1:6">
      <c r="A313" s="398">
        <v>88266</v>
      </c>
      <c r="B313" s="38" t="s">
        <v>737</v>
      </c>
      <c r="C313" s="359" t="s">
        <v>69</v>
      </c>
      <c r="D313" s="399">
        <v>0.5</v>
      </c>
      <c r="E313" s="470">
        <v>21.04</v>
      </c>
      <c r="F313" s="397">
        <f>ROUND(D313*E313,2)</f>
        <v>10.52</v>
      </c>
    </row>
    <row r="314" spans="1:6">
      <c r="A314" s="554" t="s">
        <v>72</v>
      </c>
      <c r="B314" s="554"/>
      <c r="C314" s="554"/>
      <c r="D314" s="554"/>
      <c r="E314" s="554"/>
      <c r="F314" s="361">
        <f>SUM(F312:F313)</f>
        <v>19.46</v>
      </c>
    </row>
    <row r="315" spans="1:6">
      <c r="A315" s="556" t="s">
        <v>73</v>
      </c>
      <c r="B315" s="556"/>
      <c r="C315" s="556"/>
      <c r="D315" s="556"/>
      <c r="E315" s="556"/>
      <c r="F315" s="361">
        <f>SUM(F314:F314)</f>
        <v>19.46</v>
      </c>
    </row>
    <row r="316" spans="1:6">
      <c r="A316" s="464"/>
      <c r="B316" s="555" t="s">
        <v>74</v>
      </c>
      <c r="C316" s="555"/>
      <c r="D316" s="555"/>
      <c r="E316" s="555"/>
      <c r="F316" s="555"/>
    </row>
    <row r="317" spans="1:6">
      <c r="A317" s="345" t="s">
        <v>423</v>
      </c>
      <c r="B317" s="362" t="s">
        <v>779</v>
      </c>
      <c r="C317" s="359" t="s">
        <v>18</v>
      </c>
      <c r="D317" s="360">
        <v>1</v>
      </c>
      <c r="E317" s="358">
        <v>500</v>
      </c>
      <c r="F317" s="358">
        <f>ROUND(D317*E317,2)</f>
        <v>500</v>
      </c>
    </row>
    <row r="318" spans="1:6">
      <c r="A318" s="556" t="s">
        <v>82</v>
      </c>
      <c r="B318" s="556"/>
      <c r="C318" s="556"/>
      <c r="D318" s="556"/>
      <c r="E318" s="556"/>
      <c r="F318" s="361">
        <f>SUM(F317:F317)</f>
        <v>500</v>
      </c>
    </row>
    <row r="319" spans="1:6">
      <c r="A319" s="554" t="s">
        <v>83</v>
      </c>
      <c r="B319" s="554"/>
      <c r="C319" s="554"/>
      <c r="D319" s="554"/>
      <c r="E319" s="554"/>
      <c r="F319" s="361">
        <f>SUM(F315+F318)</f>
        <v>519.46</v>
      </c>
    </row>
    <row r="320" spans="1:6">
      <c r="A320" s="554" t="s">
        <v>84</v>
      </c>
      <c r="B320" s="554"/>
      <c r="C320" s="554"/>
      <c r="D320" s="554"/>
      <c r="E320" s="554"/>
      <c r="F320" s="456">
        <f>F319</f>
        <v>519.46</v>
      </c>
    </row>
    <row r="321" spans="1:6">
      <c r="A321" s="341" t="s">
        <v>2</v>
      </c>
      <c r="B321" s="353" t="s">
        <v>62</v>
      </c>
      <c r="C321" s="353" t="s">
        <v>4</v>
      </c>
      <c r="D321" s="353" t="s">
        <v>63</v>
      </c>
      <c r="E321" s="353" t="s">
        <v>64</v>
      </c>
      <c r="F321" s="353" t="s">
        <v>65</v>
      </c>
    </row>
    <row r="322" spans="1:6">
      <c r="A322" s="466" t="str">
        <f>'ORÇAMENTO - CASA DE FORÇA'!A164</f>
        <v>18.9</v>
      </c>
      <c r="B322" s="557" t="str">
        <f>'ORÇAMENTO - CASA DE FORÇA'!C164</f>
        <v>Fornecimento e instalação de globo prismático CLARO</v>
      </c>
      <c r="C322" s="557"/>
      <c r="D322" s="557"/>
      <c r="E322" s="557"/>
      <c r="F322" s="557"/>
    </row>
    <row r="323" spans="1:6">
      <c r="A323" s="344"/>
      <c r="B323" s="555" t="s">
        <v>66</v>
      </c>
      <c r="C323" s="555"/>
      <c r="D323" s="555"/>
      <c r="E323" s="555"/>
      <c r="F323" s="555"/>
    </row>
    <row r="324" spans="1:6">
      <c r="A324" s="398">
        <v>88243</v>
      </c>
      <c r="B324" s="38" t="s">
        <v>738</v>
      </c>
      <c r="C324" s="359" t="s">
        <v>69</v>
      </c>
      <c r="D324" s="399">
        <v>0.5</v>
      </c>
      <c r="E324" s="419">
        <v>17.88</v>
      </c>
      <c r="F324" s="397">
        <f>ROUND(D324*E324,2)</f>
        <v>8.94</v>
      </c>
    </row>
    <row r="325" spans="1:6">
      <c r="A325" s="398">
        <v>88266</v>
      </c>
      <c r="B325" s="38" t="s">
        <v>737</v>
      </c>
      <c r="C325" s="359" t="s">
        <v>69</v>
      </c>
      <c r="D325" s="399">
        <v>0.5</v>
      </c>
      <c r="E325" s="470">
        <v>21.04</v>
      </c>
      <c r="F325" s="397">
        <f>ROUND(D325*E325,2)</f>
        <v>10.52</v>
      </c>
    </row>
    <row r="326" spans="1:6">
      <c r="A326" s="554" t="s">
        <v>72</v>
      </c>
      <c r="B326" s="554"/>
      <c r="C326" s="554"/>
      <c r="D326" s="554"/>
      <c r="E326" s="554"/>
      <c r="F326" s="361">
        <f>SUM(F324:F325)</f>
        <v>19.46</v>
      </c>
    </row>
    <row r="327" spans="1:6">
      <c r="A327" s="556" t="s">
        <v>73</v>
      </c>
      <c r="B327" s="556"/>
      <c r="C327" s="556"/>
      <c r="D327" s="556"/>
      <c r="E327" s="556"/>
      <c r="F327" s="361">
        <f>SUM(F326:F326)</f>
        <v>19.46</v>
      </c>
    </row>
    <row r="328" spans="1:6">
      <c r="A328" s="464"/>
      <c r="B328" s="555" t="s">
        <v>74</v>
      </c>
      <c r="C328" s="555"/>
      <c r="D328" s="555"/>
      <c r="E328" s="555"/>
      <c r="F328" s="555"/>
    </row>
    <row r="329" spans="1:6">
      <c r="A329" s="345" t="s">
        <v>423</v>
      </c>
      <c r="B329" s="362" t="s">
        <v>780</v>
      </c>
      <c r="C329" s="359" t="s">
        <v>18</v>
      </c>
      <c r="D329" s="360">
        <v>1</v>
      </c>
      <c r="E329" s="358">
        <v>450</v>
      </c>
      <c r="F329" s="358">
        <f>ROUND(D329*E329,2)</f>
        <v>450</v>
      </c>
    </row>
    <row r="330" spans="1:6">
      <c r="A330" s="556" t="s">
        <v>82</v>
      </c>
      <c r="B330" s="556"/>
      <c r="C330" s="556"/>
      <c r="D330" s="556"/>
      <c r="E330" s="556"/>
      <c r="F330" s="361">
        <f>SUM(F329:F329)</f>
        <v>450</v>
      </c>
    </row>
    <row r="331" spans="1:6">
      <c r="A331" s="554" t="s">
        <v>83</v>
      </c>
      <c r="B331" s="554"/>
      <c r="C331" s="554"/>
      <c r="D331" s="554"/>
      <c r="E331" s="554"/>
      <c r="F331" s="361">
        <f>SUM(F327+F330)</f>
        <v>469.46</v>
      </c>
    </row>
    <row r="332" spans="1:6">
      <c r="A332" s="554" t="s">
        <v>84</v>
      </c>
      <c r="B332" s="554"/>
      <c r="C332" s="554"/>
      <c r="D332" s="554"/>
      <c r="E332" s="554"/>
      <c r="F332" s="456">
        <f>F331</f>
        <v>469.46</v>
      </c>
    </row>
    <row r="333" spans="1:6">
      <c r="A333" s="341" t="s">
        <v>2</v>
      </c>
      <c r="B333" s="353" t="s">
        <v>62</v>
      </c>
      <c r="C333" s="353" t="s">
        <v>4</v>
      </c>
      <c r="D333" s="353" t="s">
        <v>63</v>
      </c>
      <c r="E333" s="353" t="s">
        <v>64</v>
      </c>
      <c r="F333" s="353" t="s">
        <v>65</v>
      </c>
    </row>
    <row r="334" spans="1:6">
      <c r="A334" s="466" t="str">
        <f>'ORÇAMENTO - CASA DE FORÇA'!A165</f>
        <v>18.10</v>
      </c>
      <c r="B334" s="557" t="str">
        <f>'ORÇAMENTO - CASA DE FORÇA'!C165</f>
        <v>Fornecimento e instalação de globo prismático VERDE/VERMELHO</v>
      </c>
      <c r="C334" s="557"/>
      <c r="D334" s="557"/>
      <c r="E334" s="557"/>
      <c r="F334" s="557"/>
    </row>
    <row r="335" spans="1:6">
      <c r="A335" s="344"/>
      <c r="B335" s="555" t="s">
        <v>66</v>
      </c>
      <c r="C335" s="555"/>
      <c r="D335" s="555"/>
      <c r="E335" s="555"/>
      <c r="F335" s="555"/>
    </row>
    <row r="336" spans="1:6">
      <c r="A336" s="398">
        <v>88243</v>
      </c>
      <c r="B336" s="38" t="s">
        <v>738</v>
      </c>
      <c r="C336" s="359" t="s">
        <v>69</v>
      </c>
      <c r="D336" s="399">
        <v>0.5</v>
      </c>
      <c r="E336" s="419">
        <v>17.88</v>
      </c>
      <c r="F336" s="397">
        <f>ROUND(D336*E336,2)</f>
        <v>8.94</v>
      </c>
    </row>
    <row r="337" spans="1:6">
      <c r="A337" s="398">
        <v>88266</v>
      </c>
      <c r="B337" s="38" t="s">
        <v>737</v>
      </c>
      <c r="C337" s="359" t="s">
        <v>69</v>
      </c>
      <c r="D337" s="399">
        <v>0.5</v>
      </c>
      <c r="E337" s="470">
        <v>21.04</v>
      </c>
      <c r="F337" s="397">
        <f>ROUND(D337*E337,2)</f>
        <v>10.52</v>
      </c>
    </row>
    <row r="338" spans="1:6">
      <c r="A338" s="554" t="s">
        <v>72</v>
      </c>
      <c r="B338" s="554"/>
      <c r="C338" s="554"/>
      <c r="D338" s="554"/>
      <c r="E338" s="554"/>
      <c r="F338" s="361">
        <f>SUM(F336:F337)</f>
        <v>19.46</v>
      </c>
    </row>
    <row r="339" spans="1:6">
      <c r="A339" s="556" t="s">
        <v>73</v>
      </c>
      <c r="B339" s="556"/>
      <c r="C339" s="556"/>
      <c r="D339" s="556"/>
      <c r="E339" s="556"/>
      <c r="F339" s="361">
        <f>SUM(F338:F338)</f>
        <v>19.46</v>
      </c>
    </row>
    <row r="340" spans="1:6">
      <c r="A340" s="464"/>
      <c r="B340" s="555" t="s">
        <v>74</v>
      </c>
      <c r="C340" s="555"/>
      <c r="D340" s="555"/>
      <c r="E340" s="555"/>
      <c r="F340" s="555"/>
    </row>
    <row r="341" spans="1:6">
      <c r="A341" s="345" t="s">
        <v>423</v>
      </c>
      <c r="B341" s="362" t="s">
        <v>781</v>
      </c>
      <c r="C341" s="359" t="s">
        <v>18</v>
      </c>
      <c r="D341" s="360">
        <v>1</v>
      </c>
      <c r="E341" s="358">
        <v>900</v>
      </c>
      <c r="F341" s="358">
        <f>ROUND(D341*E341,2)</f>
        <v>900</v>
      </c>
    </row>
    <row r="342" spans="1:6">
      <c r="A342" s="556" t="s">
        <v>82</v>
      </c>
      <c r="B342" s="556"/>
      <c r="C342" s="556"/>
      <c r="D342" s="556"/>
      <c r="E342" s="556"/>
      <c r="F342" s="361">
        <f>SUM(F341:F341)</f>
        <v>900</v>
      </c>
    </row>
    <row r="343" spans="1:6">
      <c r="A343" s="554" t="s">
        <v>83</v>
      </c>
      <c r="B343" s="554"/>
      <c r="C343" s="554"/>
      <c r="D343" s="554"/>
      <c r="E343" s="554"/>
      <c r="F343" s="361">
        <f>SUM(F339+F342)</f>
        <v>919.46</v>
      </c>
    </row>
    <row r="344" spans="1:6">
      <c r="A344" s="554" t="s">
        <v>84</v>
      </c>
      <c r="B344" s="554"/>
      <c r="C344" s="554"/>
      <c r="D344" s="554"/>
      <c r="E344" s="554"/>
      <c r="F344" s="456">
        <f>F343</f>
        <v>919.46</v>
      </c>
    </row>
    <row r="345" spans="1:6">
      <c r="A345" s="341" t="s">
        <v>2</v>
      </c>
      <c r="B345" s="353" t="s">
        <v>62</v>
      </c>
      <c r="C345" s="353" t="s">
        <v>4</v>
      </c>
      <c r="D345" s="353" t="s">
        <v>63</v>
      </c>
      <c r="E345" s="353" t="s">
        <v>64</v>
      </c>
      <c r="F345" s="353" t="s">
        <v>65</v>
      </c>
    </row>
    <row r="346" spans="1:6">
      <c r="A346" s="466" t="str">
        <f>'ORÇAMENTO - CASA DE FORÇA'!A166</f>
        <v>18.11</v>
      </c>
      <c r="B346" s="557" t="str">
        <f>'ORÇAMENTO - CASA DE FORÇA'!C166</f>
        <v>Fornecimento e instalação de lâmpada incandescente 30 W-6.6 A</v>
      </c>
      <c r="C346" s="557"/>
      <c r="D346" s="557"/>
      <c r="E346" s="557"/>
      <c r="F346" s="557"/>
    </row>
    <row r="347" spans="1:6">
      <c r="A347" s="344"/>
      <c r="B347" s="555" t="s">
        <v>66</v>
      </c>
      <c r="C347" s="555"/>
      <c r="D347" s="555"/>
      <c r="E347" s="555"/>
      <c r="F347" s="555"/>
    </row>
    <row r="348" spans="1:6">
      <c r="A348" s="398">
        <v>88243</v>
      </c>
      <c r="B348" s="38" t="s">
        <v>738</v>
      </c>
      <c r="C348" s="359" t="s">
        <v>69</v>
      </c>
      <c r="D348" s="399">
        <v>0.5</v>
      </c>
      <c r="E348" s="419">
        <v>17.88</v>
      </c>
      <c r="F348" s="397">
        <f>ROUND(D348*E348,2)</f>
        <v>8.94</v>
      </c>
    </row>
    <row r="349" spans="1:6">
      <c r="A349" s="398">
        <v>88266</v>
      </c>
      <c r="B349" s="38" t="s">
        <v>737</v>
      </c>
      <c r="C349" s="359" t="s">
        <v>69</v>
      </c>
      <c r="D349" s="399">
        <v>0.5</v>
      </c>
      <c r="E349" s="470">
        <v>21.04</v>
      </c>
      <c r="F349" s="397">
        <f>ROUND(D349*E349,2)</f>
        <v>10.52</v>
      </c>
    </row>
    <row r="350" spans="1:6">
      <c r="A350" s="554" t="s">
        <v>72</v>
      </c>
      <c r="B350" s="554"/>
      <c r="C350" s="554"/>
      <c r="D350" s="554"/>
      <c r="E350" s="554"/>
      <c r="F350" s="361">
        <f>SUM(F348:F349)</f>
        <v>19.46</v>
      </c>
    </row>
    <row r="351" spans="1:6">
      <c r="A351" s="556" t="s">
        <v>73</v>
      </c>
      <c r="B351" s="556"/>
      <c r="C351" s="556"/>
      <c r="D351" s="556"/>
      <c r="E351" s="556"/>
      <c r="F351" s="361">
        <f>SUM(F350:F350)</f>
        <v>19.46</v>
      </c>
    </row>
    <row r="352" spans="1:6">
      <c r="A352" s="464"/>
      <c r="B352" s="555" t="s">
        <v>74</v>
      </c>
      <c r="C352" s="555"/>
      <c r="D352" s="555"/>
      <c r="E352" s="555"/>
      <c r="F352" s="555"/>
    </row>
    <row r="353" spans="1:6">
      <c r="A353" s="345" t="s">
        <v>423</v>
      </c>
      <c r="B353" s="362" t="s">
        <v>782</v>
      </c>
      <c r="C353" s="359" t="s">
        <v>18</v>
      </c>
      <c r="D353" s="360">
        <v>1</v>
      </c>
      <c r="E353" s="358">
        <v>125</v>
      </c>
      <c r="F353" s="358">
        <f>ROUND(D353*E353,2)</f>
        <v>125</v>
      </c>
    </row>
    <row r="354" spans="1:6">
      <c r="A354" s="556" t="s">
        <v>82</v>
      </c>
      <c r="B354" s="556"/>
      <c r="C354" s="556"/>
      <c r="D354" s="556"/>
      <c r="E354" s="556"/>
      <c r="F354" s="361">
        <f>SUM(F353:F353)</f>
        <v>125</v>
      </c>
    </row>
    <row r="355" spans="1:6">
      <c r="A355" s="554" t="s">
        <v>83</v>
      </c>
      <c r="B355" s="554"/>
      <c r="C355" s="554"/>
      <c r="D355" s="554"/>
      <c r="E355" s="554"/>
      <c r="F355" s="361">
        <f>SUM(F351+F354)</f>
        <v>144.46</v>
      </c>
    </row>
    <row r="356" spans="1:6">
      <c r="A356" s="554" t="s">
        <v>84</v>
      </c>
      <c r="B356" s="554"/>
      <c r="C356" s="554"/>
      <c r="D356" s="554"/>
      <c r="E356" s="554"/>
      <c r="F356" s="456">
        <f>F355</f>
        <v>144.46</v>
      </c>
    </row>
    <row r="357" spans="1:6">
      <c r="A357" s="341" t="s">
        <v>2</v>
      </c>
      <c r="B357" s="353" t="s">
        <v>62</v>
      </c>
      <c r="C357" s="353" t="s">
        <v>4</v>
      </c>
      <c r="D357" s="353" t="s">
        <v>63</v>
      </c>
      <c r="E357" s="353" t="s">
        <v>64</v>
      </c>
      <c r="F357" s="353" t="s">
        <v>65</v>
      </c>
    </row>
    <row r="358" spans="1:6" ht="18.75" customHeight="1">
      <c r="A358" s="466" t="str">
        <f>'ORÇAMENTO - CASA DE FORÇA'!A167</f>
        <v>18.12</v>
      </c>
      <c r="B358" s="557" t="str">
        <f>'ORÇAMENTO - CASA DE FORÇA'!C167</f>
        <v>Fornecimento e instalação de soquete receptáculo da lâmpada prefocus</v>
      </c>
      <c r="C358" s="557"/>
      <c r="D358" s="557"/>
      <c r="E358" s="557"/>
      <c r="F358" s="557"/>
    </row>
    <row r="359" spans="1:6">
      <c r="A359" s="344"/>
      <c r="B359" s="555" t="s">
        <v>66</v>
      </c>
      <c r="C359" s="555"/>
      <c r="D359" s="555"/>
      <c r="E359" s="555"/>
      <c r="F359" s="555"/>
    </row>
    <row r="360" spans="1:6">
      <c r="A360" s="398">
        <v>88243</v>
      </c>
      <c r="B360" s="38" t="s">
        <v>738</v>
      </c>
      <c r="C360" s="359" t="s">
        <v>69</v>
      </c>
      <c r="D360" s="399">
        <v>0.5</v>
      </c>
      <c r="E360" s="419">
        <v>17.88</v>
      </c>
      <c r="F360" s="397">
        <f>ROUND(D360*E360,2)</f>
        <v>8.94</v>
      </c>
    </row>
    <row r="361" spans="1:6">
      <c r="A361" s="398">
        <v>88266</v>
      </c>
      <c r="B361" s="38" t="s">
        <v>737</v>
      </c>
      <c r="C361" s="359" t="s">
        <v>69</v>
      </c>
      <c r="D361" s="399">
        <v>0.5</v>
      </c>
      <c r="E361" s="470">
        <v>21.04</v>
      </c>
      <c r="F361" s="397">
        <f>ROUND(D361*E361,2)</f>
        <v>10.52</v>
      </c>
    </row>
    <row r="362" spans="1:6">
      <c r="A362" s="554" t="s">
        <v>72</v>
      </c>
      <c r="B362" s="554"/>
      <c r="C362" s="554"/>
      <c r="D362" s="554"/>
      <c r="E362" s="554"/>
      <c r="F362" s="361">
        <f>SUM(F360:F361)</f>
        <v>19.46</v>
      </c>
    </row>
    <row r="363" spans="1:6">
      <c r="A363" s="556" t="s">
        <v>73</v>
      </c>
      <c r="B363" s="556"/>
      <c r="C363" s="556"/>
      <c r="D363" s="556"/>
      <c r="E363" s="556"/>
      <c r="F363" s="361">
        <f>SUM(F362:F362)</f>
        <v>19.46</v>
      </c>
    </row>
    <row r="364" spans="1:6">
      <c r="A364" s="464"/>
      <c r="B364" s="555" t="s">
        <v>74</v>
      </c>
      <c r="C364" s="555"/>
      <c r="D364" s="555"/>
      <c r="E364" s="555"/>
      <c r="F364" s="555"/>
    </row>
    <row r="365" spans="1:6">
      <c r="A365" s="345" t="s">
        <v>423</v>
      </c>
      <c r="B365" s="362" t="s">
        <v>783</v>
      </c>
      <c r="C365" s="359" t="s">
        <v>18</v>
      </c>
      <c r="D365" s="360">
        <v>1</v>
      </c>
      <c r="E365" s="358">
        <v>75</v>
      </c>
      <c r="F365" s="358">
        <f>ROUND(D365*E365,2)</f>
        <v>75</v>
      </c>
    </row>
    <row r="366" spans="1:6">
      <c r="A366" s="556" t="s">
        <v>82</v>
      </c>
      <c r="B366" s="556"/>
      <c r="C366" s="556"/>
      <c r="D366" s="556"/>
      <c r="E366" s="556"/>
      <c r="F366" s="361">
        <f>SUM(F365:F365)</f>
        <v>75</v>
      </c>
    </row>
    <row r="367" spans="1:6">
      <c r="A367" s="554" t="s">
        <v>83</v>
      </c>
      <c r="B367" s="554"/>
      <c r="C367" s="554"/>
      <c r="D367" s="554"/>
      <c r="E367" s="554"/>
      <c r="F367" s="361">
        <f>SUM(F363+F366)</f>
        <v>94.46</v>
      </c>
    </row>
    <row r="368" spans="1:6">
      <c r="A368" s="554" t="s">
        <v>84</v>
      </c>
      <c r="B368" s="554"/>
      <c r="C368" s="554"/>
      <c r="D368" s="554"/>
      <c r="E368" s="554"/>
      <c r="F368" s="456">
        <f>F367</f>
        <v>94.46</v>
      </c>
    </row>
    <row r="369" spans="1:6">
      <c r="A369" s="341" t="s">
        <v>2</v>
      </c>
      <c r="B369" s="353" t="s">
        <v>62</v>
      </c>
      <c r="C369" s="353" t="s">
        <v>4</v>
      </c>
      <c r="D369" s="353" t="s">
        <v>63</v>
      </c>
      <c r="E369" s="353" t="s">
        <v>64</v>
      </c>
      <c r="F369" s="353" t="s">
        <v>65</v>
      </c>
    </row>
    <row r="370" spans="1:6" ht="21" customHeight="1">
      <c r="A370" s="466" t="str">
        <f>'ORÇAMENTO - CASA DE FORÇA'!A168</f>
        <v>18.13</v>
      </c>
      <c r="B370" s="557" t="str">
        <f>'ORÇAMENTO - CASA DE FORÇA'!C168</f>
        <v>Fornecimento e instalação de transformador regulador de corrente constante (RCC)</v>
      </c>
      <c r="C370" s="557"/>
      <c r="D370" s="557"/>
      <c r="E370" s="557"/>
      <c r="F370" s="557"/>
    </row>
    <row r="371" spans="1:6">
      <c r="A371" s="344"/>
      <c r="B371" s="555" t="s">
        <v>66</v>
      </c>
      <c r="C371" s="555"/>
      <c r="D371" s="555"/>
      <c r="E371" s="555"/>
      <c r="F371" s="555"/>
    </row>
    <row r="372" spans="1:6">
      <c r="A372" s="398">
        <v>88243</v>
      </c>
      <c r="B372" s="38" t="s">
        <v>738</v>
      </c>
      <c r="C372" s="359" t="s">
        <v>69</v>
      </c>
      <c r="D372" s="399">
        <v>48</v>
      </c>
      <c r="E372" s="419">
        <v>17.88</v>
      </c>
      <c r="F372" s="397">
        <f>ROUND(D372*E372,2)</f>
        <v>858.24</v>
      </c>
    </row>
    <row r="373" spans="1:6">
      <c r="A373" s="398">
        <v>88266</v>
      </c>
      <c r="B373" s="38" t="s">
        <v>737</v>
      </c>
      <c r="C373" s="359" t="s">
        <v>69</v>
      </c>
      <c r="D373" s="399">
        <v>48</v>
      </c>
      <c r="E373" s="470">
        <v>21.04</v>
      </c>
      <c r="F373" s="397">
        <f>ROUND(D373*E373,2)</f>
        <v>1009.92</v>
      </c>
    </row>
    <row r="374" spans="1:6">
      <c r="A374" s="554" t="s">
        <v>72</v>
      </c>
      <c r="B374" s="554"/>
      <c r="C374" s="554"/>
      <c r="D374" s="554"/>
      <c r="E374" s="554"/>
      <c r="F374" s="361">
        <f>SUM(F372:F373)</f>
        <v>1868.16</v>
      </c>
    </row>
    <row r="375" spans="1:6">
      <c r="A375" s="556" t="s">
        <v>73</v>
      </c>
      <c r="B375" s="556"/>
      <c r="C375" s="556"/>
      <c r="D375" s="556"/>
      <c r="E375" s="556"/>
      <c r="F375" s="361">
        <f>SUM(F374:F374)</f>
        <v>1868.16</v>
      </c>
    </row>
    <row r="376" spans="1:6">
      <c r="A376" s="464"/>
      <c r="B376" s="555" t="s">
        <v>74</v>
      </c>
      <c r="C376" s="555"/>
      <c r="D376" s="555"/>
      <c r="E376" s="555"/>
      <c r="F376" s="555"/>
    </row>
    <row r="377" spans="1:6">
      <c r="A377" s="345" t="s">
        <v>423</v>
      </c>
      <c r="B377" s="362" t="s">
        <v>784</v>
      </c>
      <c r="C377" s="359" t="s">
        <v>18</v>
      </c>
      <c r="D377" s="360">
        <v>1</v>
      </c>
      <c r="E377" s="358">
        <v>1200</v>
      </c>
      <c r="F377" s="358">
        <f>ROUND(D377*E377,2)</f>
        <v>1200</v>
      </c>
    </row>
    <row r="378" spans="1:6">
      <c r="A378" s="556" t="s">
        <v>82</v>
      </c>
      <c r="B378" s="556"/>
      <c r="C378" s="556"/>
      <c r="D378" s="556"/>
      <c r="E378" s="556"/>
      <c r="F378" s="361">
        <f>SUM(F377:F377)</f>
        <v>1200</v>
      </c>
    </row>
    <row r="379" spans="1:6">
      <c r="A379" s="554" t="s">
        <v>83</v>
      </c>
      <c r="B379" s="554"/>
      <c r="C379" s="554"/>
      <c r="D379" s="554"/>
      <c r="E379" s="554"/>
      <c r="F379" s="361">
        <f>SUM(F375+F378)</f>
        <v>3068.16</v>
      </c>
    </row>
    <row r="380" spans="1:6">
      <c r="A380" s="554" t="s">
        <v>84</v>
      </c>
      <c r="B380" s="554"/>
      <c r="C380" s="554"/>
      <c r="D380" s="554"/>
      <c r="E380" s="554"/>
      <c r="F380" s="456">
        <f>F379</f>
        <v>3068.16</v>
      </c>
    </row>
    <row r="381" spans="1:6">
      <c r="A381" s="341" t="s">
        <v>2</v>
      </c>
      <c r="B381" s="353" t="s">
        <v>62</v>
      </c>
      <c r="C381" s="353" t="s">
        <v>4</v>
      </c>
      <c r="D381" s="353" t="s">
        <v>63</v>
      </c>
      <c r="E381" s="353" t="s">
        <v>64</v>
      </c>
      <c r="F381" s="353" t="s">
        <v>65</v>
      </c>
    </row>
    <row r="382" spans="1:6">
      <c r="A382" s="543" t="str">
        <f>'ORÇAMENTO - CASA DE FORÇA'!A169</f>
        <v>18.14</v>
      </c>
      <c r="B382" s="557" t="str">
        <f>'ORÇAMENTO - CASA DE FORÇA'!C169</f>
        <v>Fornecimento e instalação de kit conector 5KV(Pulg e Receptáculo)</v>
      </c>
      <c r="C382" s="557"/>
      <c r="D382" s="557"/>
      <c r="E382" s="557"/>
      <c r="F382" s="557"/>
    </row>
    <row r="383" spans="1:6">
      <c r="A383" s="344"/>
      <c r="B383" s="555" t="s">
        <v>66</v>
      </c>
      <c r="C383" s="555"/>
      <c r="D383" s="555"/>
      <c r="E383" s="555"/>
      <c r="F383" s="555"/>
    </row>
    <row r="384" spans="1:6">
      <c r="A384" s="398">
        <v>88243</v>
      </c>
      <c r="B384" s="38" t="s">
        <v>738</v>
      </c>
      <c r="C384" s="359" t="s">
        <v>69</v>
      </c>
      <c r="D384" s="399">
        <f>30/60</f>
        <v>0.5</v>
      </c>
      <c r="E384" s="419">
        <v>17.88</v>
      </c>
      <c r="F384" s="397">
        <f>ROUND(D384*E384,2)</f>
        <v>8.94</v>
      </c>
    </row>
    <row r="385" spans="1:6">
      <c r="A385" s="398">
        <v>88266</v>
      </c>
      <c r="B385" s="38" t="s">
        <v>737</v>
      </c>
      <c r="C385" s="359" t="s">
        <v>69</v>
      </c>
      <c r="D385" s="399">
        <f>30/60</f>
        <v>0.5</v>
      </c>
      <c r="E385" s="470">
        <v>21.04</v>
      </c>
      <c r="F385" s="397">
        <f>ROUND(D385*E385,2)</f>
        <v>10.52</v>
      </c>
    </row>
    <row r="386" spans="1:6">
      <c r="A386" s="554" t="s">
        <v>72</v>
      </c>
      <c r="B386" s="554"/>
      <c r="C386" s="554"/>
      <c r="D386" s="554"/>
      <c r="E386" s="554"/>
      <c r="F386" s="361">
        <f>SUM(F384:F385)</f>
        <v>19.46</v>
      </c>
    </row>
    <row r="387" spans="1:6">
      <c r="A387" s="556" t="s">
        <v>73</v>
      </c>
      <c r="B387" s="556"/>
      <c r="C387" s="556"/>
      <c r="D387" s="556"/>
      <c r="E387" s="556"/>
      <c r="F387" s="361">
        <f>SUM(F386:F386)</f>
        <v>19.46</v>
      </c>
    </row>
    <row r="388" spans="1:6">
      <c r="A388" s="542"/>
      <c r="B388" s="555" t="s">
        <v>74</v>
      </c>
      <c r="C388" s="555"/>
      <c r="D388" s="555"/>
      <c r="E388" s="555"/>
      <c r="F388" s="555"/>
    </row>
    <row r="389" spans="1:6">
      <c r="A389" s="345" t="s">
        <v>423</v>
      </c>
      <c r="B389" s="362" t="s">
        <v>857</v>
      </c>
      <c r="C389" s="359" t="s">
        <v>18</v>
      </c>
      <c r="D389" s="360">
        <v>1</v>
      </c>
      <c r="E389" s="358">
        <v>289</v>
      </c>
      <c r="F389" s="358">
        <f>ROUND(D389*E389,2)</f>
        <v>289</v>
      </c>
    </row>
    <row r="390" spans="1:6">
      <c r="A390" s="556" t="s">
        <v>82</v>
      </c>
      <c r="B390" s="556"/>
      <c r="C390" s="556"/>
      <c r="D390" s="556"/>
      <c r="E390" s="556"/>
      <c r="F390" s="361">
        <f>SUM(F389:F389)</f>
        <v>289</v>
      </c>
    </row>
    <row r="391" spans="1:6">
      <c r="A391" s="554" t="s">
        <v>83</v>
      </c>
      <c r="B391" s="554"/>
      <c r="C391" s="554"/>
      <c r="D391" s="554"/>
      <c r="E391" s="554"/>
      <c r="F391" s="361">
        <f>SUM(F387+F390)</f>
        <v>308.45999999999998</v>
      </c>
    </row>
    <row r="392" spans="1:6">
      <c r="A392" s="554" t="s">
        <v>84</v>
      </c>
      <c r="B392" s="554"/>
      <c r="C392" s="554"/>
      <c r="D392" s="554"/>
      <c r="E392" s="554"/>
      <c r="F392" s="456">
        <f>F391</f>
        <v>308.45999999999998</v>
      </c>
    </row>
    <row r="393" spans="1:6">
      <c r="A393" s="341" t="s">
        <v>2</v>
      </c>
      <c r="B393" s="353" t="s">
        <v>62</v>
      </c>
      <c r="C393" s="353" t="s">
        <v>4</v>
      </c>
      <c r="D393" s="353" t="s">
        <v>63</v>
      </c>
      <c r="E393" s="353" t="s">
        <v>64</v>
      </c>
      <c r="F393" s="353" t="s">
        <v>65</v>
      </c>
    </row>
    <row r="394" spans="1:6">
      <c r="A394" s="543" t="str">
        <f>'ORÇAMENTO - CASA DE FORÇA'!A170</f>
        <v>18.15</v>
      </c>
      <c r="B394" s="557" t="str">
        <f>'ORÇAMENTO - CASA DE FORÇA'!C170</f>
        <v>Execução e instalação do farol de aeródromo ( Farol Rotativo)</v>
      </c>
      <c r="C394" s="557"/>
      <c r="D394" s="557"/>
      <c r="E394" s="557"/>
      <c r="F394" s="557"/>
    </row>
    <row r="395" spans="1:6">
      <c r="A395" s="344"/>
      <c r="B395" s="555" t="s">
        <v>66</v>
      </c>
      <c r="C395" s="555"/>
      <c r="D395" s="555"/>
      <c r="E395" s="555"/>
      <c r="F395" s="555"/>
    </row>
    <row r="396" spans="1:6">
      <c r="A396" s="398">
        <v>88243</v>
      </c>
      <c r="B396" s="38" t="s">
        <v>738</v>
      </c>
      <c r="C396" s="359" t="s">
        <v>69</v>
      </c>
      <c r="D396" s="399">
        <f>80/60</f>
        <v>1.3332999999999999</v>
      </c>
      <c r="E396" s="419">
        <v>17.88</v>
      </c>
      <c r="F396" s="397">
        <f>ROUND(D396*E396,2)</f>
        <v>23.84</v>
      </c>
    </row>
    <row r="397" spans="1:6">
      <c r="A397" s="398">
        <v>88266</v>
      </c>
      <c r="B397" s="38" t="s">
        <v>737</v>
      </c>
      <c r="C397" s="359" t="s">
        <v>69</v>
      </c>
      <c r="D397" s="399">
        <f>80/60</f>
        <v>1.3332999999999999</v>
      </c>
      <c r="E397" s="470">
        <v>21.04</v>
      </c>
      <c r="F397" s="397">
        <f>ROUND(D397*E397,2)</f>
        <v>28.05</v>
      </c>
    </row>
    <row r="398" spans="1:6">
      <c r="A398" s="554" t="s">
        <v>72</v>
      </c>
      <c r="B398" s="554"/>
      <c r="C398" s="554"/>
      <c r="D398" s="554"/>
      <c r="E398" s="554"/>
      <c r="F398" s="361">
        <f>SUM(F396:F397)</f>
        <v>51.89</v>
      </c>
    </row>
    <row r="399" spans="1:6">
      <c r="A399" s="556" t="s">
        <v>73</v>
      </c>
      <c r="B399" s="556"/>
      <c r="C399" s="556"/>
      <c r="D399" s="556"/>
      <c r="E399" s="556"/>
      <c r="F399" s="361">
        <f>SUM(F398:F398)</f>
        <v>51.89</v>
      </c>
    </row>
    <row r="400" spans="1:6">
      <c r="A400" s="542"/>
      <c r="B400" s="555" t="s">
        <v>74</v>
      </c>
      <c r="C400" s="555"/>
      <c r="D400" s="555"/>
      <c r="E400" s="555"/>
      <c r="F400" s="555"/>
    </row>
    <row r="401" spans="1:7">
      <c r="A401" s="345" t="s">
        <v>423</v>
      </c>
      <c r="B401" s="362" t="s">
        <v>864</v>
      </c>
      <c r="C401" s="359" t="s">
        <v>870</v>
      </c>
      <c r="D401" s="360">
        <v>1</v>
      </c>
      <c r="E401" s="358">
        <v>53772.89</v>
      </c>
      <c r="F401" s="358">
        <f>ROUND(D401*E401,2)</f>
        <v>53772.89</v>
      </c>
      <c r="G401">
        <v>53772.89</v>
      </c>
    </row>
    <row r="402" spans="1:7">
      <c r="A402" s="556" t="s">
        <v>82</v>
      </c>
      <c r="B402" s="556"/>
      <c r="C402" s="556"/>
      <c r="D402" s="556"/>
      <c r="E402" s="556"/>
      <c r="F402" s="361">
        <f>SUM(F401:F401)</f>
        <v>53772.89</v>
      </c>
    </row>
    <row r="403" spans="1:7">
      <c r="A403" s="554" t="s">
        <v>83</v>
      </c>
      <c r="B403" s="554"/>
      <c r="C403" s="554"/>
      <c r="D403" s="554"/>
      <c r="E403" s="554"/>
      <c r="F403" s="361">
        <f>SUM(F399+F402)</f>
        <v>53824.78</v>
      </c>
    </row>
    <row r="404" spans="1:7">
      <c r="A404" s="554" t="s">
        <v>84</v>
      </c>
      <c r="B404" s="554"/>
      <c r="C404" s="554"/>
      <c r="D404" s="554"/>
      <c r="E404" s="554"/>
      <c r="F404" s="456">
        <f>F403</f>
        <v>53824.78</v>
      </c>
    </row>
    <row r="405" spans="1:7">
      <c r="A405" s="341" t="s">
        <v>2</v>
      </c>
      <c r="B405" s="353" t="s">
        <v>62</v>
      </c>
      <c r="C405" s="353" t="s">
        <v>4</v>
      </c>
      <c r="D405" s="353" t="s">
        <v>63</v>
      </c>
      <c r="E405" s="353" t="s">
        <v>64</v>
      </c>
      <c r="F405" s="353" t="s">
        <v>65</v>
      </c>
    </row>
    <row r="406" spans="1:7">
      <c r="A406" s="543" t="str">
        <f>'ORÇAMENTO - CASA DE FORÇA'!A171</f>
        <v>18.16</v>
      </c>
      <c r="B406" s="557" t="str">
        <f>'ORÇAMENTO - CASA DE FORÇA'!C171</f>
        <v>Execução e instalação indicador de direção do vento(Biruta iluminada)</v>
      </c>
      <c r="C406" s="557"/>
      <c r="D406" s="557"/>
      <c r="E406" s="557"/>
      <c r="F406" s="557"/>
    </row>
    <row r="407" spans="1:7">
      <c r="A407" s="344"/>
      <c r="B407" s="555" t="s">
        <v>66</v>
      </c>
      <c r="C407" s="555"/>
      <c r="D407" s="555"/>
      <c r="E407" s="555"/>
      <c r="F407" s="555"/>
    </row>
    <row r="408" spans="1:7">
      <c r="A408" s="398">
        <v>88243</v>
      </c>
      <c r="B408" s="38" t="s">
        <v>738</v>
      </c>
      <c r="C408" s="359" t="s">
        <v>69</v>
      </c>
      <c r="D408" s="399">
        <f>70/60</f>
        <v>1.1667000000000001</v>
      </c>
      <c r="E408" s="419">
        <v>17.88</v>
      </c>
      <c r="F408" s="397">
        <f>ROUND(D408*E408,2)</f>
        <v>20.86</v>
      </c>
    </row>
    <row r="409" spans="1:7">
      <c r="A409" s="398">
        <v>88266</v>
      </c>
      <c r="B409" s="38" t="s">
        <v>737</v>
      </c>
      <c r="C409" s="359" t="s">
        <v>69</v>
      </c>
      <c r="D409" s="399">
        <f>70/60</f>
        <v>1.1667000000000001</v>
      </c>
      <c r="E409" s="470">
        <v>21.04</v>
      </c>
      <c r="F409" s="397">
        <f>ROUND(D409*E409,2)</f>
        <v>24.55</v>
      </c>
    </row>
    <row r="410" spans="1:7">
      <c r="A410" s="554" t="s">
        <v>72</v>
      </c>
      <c r="B410" s="554"/>
      <c r="C410" s="554"/>
      <c r="D410" s="554"/>
      <c r="E410" s="554"/>
      <c r="F410" s="361">
        <f>SUM(F408:F409)</f>
        <v>45.41</v>
      </c>
    </row>
    <row r="411" spans="1:7">
      <c r="A411" s="556" t="s">
        <v>73</v>
      </c>
      <c r="B411" s="556"/>
      <c r="C411" s="556"/>
      <c r="D411" s="556"/>
      <c r="E411" s="556"/>
      <c r="F411" s="361">
        <f>SUM(F410:F410)</f>
        <v>45.41</v>
      </c>
    </row>
    <row r="412" spans="1:7">
      <c r="A412" s="542"/>
      <c r="B412" s="555" t="s">
        <v>74</v>
      </c>
      <c r="C412" s="555"/>
      <c r="D412" s="555"/>
      <c r="E412" s="555"/>
      <c r="F412" s="555"/>
    </row>
    <row r="413" spans="1:7">
      <c r="A413" s="345" t="s">
        <v>423</v>
      </c>
      <c r="B413" s="362" t="s">
        <v>866</v>
      </c>
      <c r="C413" s="359" t="s">
        <v>870</v>
      </c>
      <c r="D413" s="360">
        <v>1</v>
      </c>
      <c r="E413" s="358">
        <v>14590.89</v>
      </c>
      <c r="F413" s="358">
        <f>ROUND(D413*E413,2)</f>
        <v>14590.89</v>
      </c>
      <c r="G413">
        <v>14590.89</v>
      </c>
    </row>
    <row r="414" spans="1:7">
      <c r="A414" s="556" t="s">
        <v>82</v>
      </c>
      <c r="B414" s="556"/>
      <c r="C414" s="556"/>
      <c r="D414" s="556"/>
      <c r="E414" s="556"/>
      <c r="F414" s="361">
        <f>SUM(F413:F413)</f>
        <v>14590.89</v>
      </c>
    </row>
    <row r="415" spans="1:7">
      <c r="A415" s="554" t="s">
        <v>83</v>
      </c>
      <c r="B415" s="554"/>
      <c r="C415" s="554"/>
      <c r="D415" s="554"/>
      <c r="E415" s="554"/>
      <c r="F415" s="361">
        <f>SUM(F411+F414)</f>
        <v>14636.3</v>
      </c>
    </row>
    <row r="416" spans="1:7">
      <c r="A416" s="554" t="s">
        <v>84</v>
      </c>
      <c r="B416" s="554"/>
      <c r="C416" s="554"/>
      <c r="D416" s="554"/>
      <c r="E416" s="554"/>
      <c r="F416" s="456">
        <f>F415</f>
        <v>14636.3</v>
      </c>
    </row>
    <row r="417" spans="1:7">
      <c r="A417" s="341" t="s">
        <v>2</v>
      </c>
      <c r="B417" s="353" t="s">
        <v>62</v>
      </c>
      <c r="C417" s="353" t="s">
        <v>4</v>
      </c>
      <c r="D417" s="353" t="s">
        <v>63</v>
      </c>
      <c r="E417" s="353" t="s">
        <v>64</v>
      </c>
      <c r="F417" s="353" t="s">
        <v>65</v>
      </c>
    </row>
    <row r="418" spans="1:7">
      <c r="A418" s="543" t="str">
        <f>'ORÇAMENTO - CASA DE FORÇA'!A172</f>
        <v>18.17</v>
      </c>
      <c r="B418" s="557" t="str">
        <f>'ORÇAMENTO - CASA DE FORÇA'!C172</f>
        <v>Execução e instalação da iluminação do pátio de aeronaves</v>
      </c>
      <c r="C418" s="557"/>
      <c r="D418" s="557"/>
      <c r="E418" s="557"/>
      <c r="F418" s="557"/>
    </row>
    <row r="419" spans="1:7">
      <c r="A419" s="344"/>
      <c r="B419" s="555" t="s">
        <v>66</v>
      </c>
      <c r="C419" s="555"/>
      <c r="D419" s="555"/>
      <c r="E419" s="555"/>
      <c r="F419" s="555"/>
    </row>
    <row r="420" spans="1:7">
      <c r="A420" s="398">
        <v>88243</v>
      </c>
      <c r="B420" s="38" t="s">
        <v>738</v>
      </c>
      <c r="C420" s="359" t="s">
        <v>69</v>
      </c>
      <c r="D420" s="399">
        <f>450/60</f>
        <v>7.5</v>
      </c>
      <c r="E420" s="419">
        <v>17.88</v>
      </c>
      <c r="F420" s="397">
        <f>ROUND(D420*E420,2)</f>
        <v>134.1</v>
      </c>
    </row>
    <row r="421" spans="1:7">
      <c r="A421" s="398">
        <v>88266</v>
      </c>
      <c r="B421" s="38" t="s">
        <v>737</v>
      </c>
      <c r="C421" s="359" t="s">
        <v>69</v>
      </c>
      <c r="D421" s="399">
        <f>450/60</f>
        <v>7.5</v>
      </c>
      <c r="E421" s="470">
        <v>21.04</v>
      </c>
      <c r="F421" s="397">
        <f>ROUND(D421*E421,2)</f>
        <v>157.80000000000001</v>
      </c>
    </row>
    <row r="422" spans="1:7">
      <c r="A422" s="554" t="s">
        <v>72</v>
      </c>
      <c r="B422" s="554"/>
      <c r="C422" s="554"/>
      <c r="D422" s="554"/>
      <c r="E422" s="554"/>
      <c r="F422" s="361">
        <f>SUM(F420:F421)</f>
        <v>291.89999999999998</v>
      </c>
    </row>
    <row r="423" spans="1:7">
      <c r="A423" s="556" t="s">
        <v>73</v>
      </c>
      <c r="B423" s="556"/>
      <c r="C423" s="556"/>
      <c r="D423" s="556"/>
      <c r="E423" s="556"/>
      <c r="F423" s="361">
        <f>SUM(F422:F422)</f>
        <v>291.89999999999998</v>
      </c>
    </row>
    <row r="424" spans="1:7">
      <c r="A424" s="542"/>
      <c r="B424" s="555" t="s">
        <v>74</v>
      </c>
      <c r="C424" s="555"/>
      <c r="D424" s="555"/>
      <c r="E424" s="555"/>
      <c r="F424" s="555"/>
    </row>
    <row r="425" spans="1:7">
      <c r="A425" s="345" t="s">
        <v>423</v>
      </c>
      <c r="B425" s="362" t="s">
        <v>867</v>
      </c>
      <c r="C425" s="359" t="s">
        <v>870</v>
      </c>
      <c r="D425" s="360">
        <v>1</v>
      </c>
      <c r="E425" s="358">
        <v>127393.32</v>
      </c>
      <c r="F425" s="358">
        <f>ROUND(D425*E425,2)</f>
        <v>127393.32</v>
      </c>
      <c r="G425">
        <v>127393.32</v>
      </c>
    </row>
    <row r="426" spans="1:7">
      <c r="A426" s="556" t="s">
        <v>82</v>
      </c>
      <c r="B426" s="556"/>
      <c r="C426" s="556"/>
      <c r="D426" s="556"/>
      <c r="E426" s="556"/>
      <c r="F426" s="361">
        <f>SUM(F425:F425)</f>
        <v>127393.32</v>
      </c>
    </row>
    <row r="427" spans="1:7">
      <c r="A427" s="554" t="s">
        <v>83</v>
      </c>
      <c r="B427" s="554"/>
      <c r="C427" s="554"/>
      <c r="D427" s="554"/>
      <c r="E427" s="554"/>
      <c r="F427" s="361">
        <f>SUM(F423+F426)</f>
        <v>127685.22</v>
      </c>
    </row>
    <row r="428" spans="1:7">
      <c r="A428" s="554" t="s">
        <v>84</v>
      </c>
      <c r="B428" s="554"/>
      <c r="C428" s="554"/>
      <c r="D428" s="554"/>
      <c r="E428" s="554"/>
      <c r="F428" s="456">
        <f>F427</f>
        <v>127685.22</v>
      </c>
    </row>
    <row r="429" spans="1:7">
      <c r="A429" s="341" t="s">
        <v>2</v>
      </c>
      <c r="B429" s="353" t="s">
        <v>62</v>
      </c>
      <c r="C429" s="353" t="s">
        <v>4</v>
      </c>
      <c r="D429" s="353" t="s">
        <v>63</v>
      </c>
      <c r="E429" s="353" t="s">
        <v>64</v>
      </c>
      <c r="F429" s="353" t="s">
        <v>65</v>
      </c>
    </row>
    <row r="430" spans="1:7">
      <c r="A430" s="543" t="str">
        <f>'ORÇAMENTO - CASA DE FORÇA'!A173</f>
        <v>18.18</v>
      </c>
      <c r="B430" s="557" t="str">
        <f>'ORÇAMENTO - CASA DE FORÇA'!C173</f>
        <v>Testes e ajustes de operacionalidade local dos sistemas</v>
      </c>
      <c r="C430" s="557"/>
      <c r="D430" s="557"/>
      <c r="E430" s="557"/>
      <c r="F430" s="557"/>
    </row>
    <row r="431" spans="1:7">
      <c r="A431" s="344"/>
      <c r="B431" s="555" t="s">
        <v>66</v>
      </c>
      <c r="C431" s="555"/>
      <c r="D431" s="555"/>
      <c r="E431" s="555"/>
      <c r="F431" s="555"/>
    </row>
    <row r="432" spans="1:7">
      <c r="A432" s="398">
        <v>88243</v>
      </c>
      <c r="B432" s="38" t="s">
        <v>738</v>
      </c>
      <c r="C432" s="359" t="s">
        <v>69</v>
      </c>
      <c r="D432" s="399">
        <f>120/60</f>
        <v>2</v>
      </c>
      <c r="E432" s="419">
        <v>17.88</v>
      </c>
      <c r="F432" s="397">
        <f>ROUND(D432*E432,2)</f>
        <v>35.76</v>
      </c>
    </row>
    <row r="433" spans="1:7">
      <c r="A433" s="398">
        <v>88266</v>
      </c>
      <c r="B433" s="38" t="s">
        <v>737</v>
      </c>
      <c r="C433" s="359" t="s">
        <v>69</v>
      </c>
      <c r="D433" s="399">
        <f>120/60</f>
        <v>2</v>
      </c>
      <c r="E433" s="470">
        <v>21.04</v>
      </c>
      <c r="F433" s="397">
        <f>ROUND(D433*E433,2)</f>
        <v>42.08</v>
      </c>
    </row>
    <row r="434" spans="1:7">
      <c r="A434" s="554" t="s">
        <v>72</v>
      </c>
      <c r="B434" s="554"/>
      <c r="C434" s="554"/>
      <c r="D434" s="554"/>
      <c r="E434" s="554"/>
      <c r="F434" s="361">
        <f>SUM(F432:F433)</f>
        <v>77.84</v>
      </c>
    </row>
    <row r="435" spans="1:7">
      <c r="A435" s="556" t="s">
        <v>73</v>
      </c>
      <c r="B435" s="556"/>
      <c r="C435" s="556"/>
      <c r="D435" s="556"/>
      <c r="E435" s="556"/>
      <c r="F435" s="361">
        <f>SUM(F434:F434)</f>
        <v>77.84</v>
      </c>
    </row>
    <row r="436" spans="1:7">
      <c r="A436" s="542"/>
      <c r="B436" s="555" t="s">
        <v>74</v>
      </c>
      <c r="C436" s="555"/>
      <c r="D436" s="555"/>
      <c r="E436" s="555"/>
      <c r="F436" s="555"/>
    </row>
    <row r="437" spans="1:7">
      <c r="A437" s="345" t="s">
        <v>423</v>
      </c>
      <c r="B437" s="362" t="s">
        <v>868</v>
      </c>
      <c r="C437" s="359" t="s">
        <v>870</v>
      </c>
      <c r="D437" s="360">
        <v>1</v>
      </c>
      <c r="E437" s="358">
        <v>9279.31</v>
      </c>
      <c r="F437" s="358">
        <f>ROUND(D437*E437,2)</f>
        <v>9279.31</v>
      </c>
      <c r="G437">
        <v>9279.31</v>
      </c>
    </row>
    <row r="438" spans="1:7">
      <c r="A438" s="556" t="s">
        <v>82</v>
      </c>
      <c r="B438" s="556"/>
      <c r="C438" s="556"/>
      <c r="D438" s="556"/>
      <c r="E438" s="556"/>
      <c r="F438" s="361">
        <f>SUM(F437:F437)</f>
        <v>9279.31</v>
      </c>
    </row>
    <row r="439" spans="1:7">
      <c r="A439" s="554" t="s">
        <v>83</v>
      </c>
      <c r="B439" s="554"/>
      <c r="C439" s="554"/>
      <c r="D439" s="554"/>
      <c r="E439" s="554"/>
      <c r="F439" s="361">
        <f>SUM(F435+F438)</f>
        <v>9357.15</v>
      </c>
    </row>
    <row r="440" spans="1:7">
      <c r="A440" s="554" t="s">
        <v>84</v>
      </c>
      <c r="B440" s="554"/>
      <c r="C440" s="554"/>
      <c r="D440" s="554"/>
      <c r="E440" s="554"/>
      <c r="F440" s="456">
        <f>F439</f>
        <v>9357.15</v>
      </c>
    </row>
    <row r="441" spans="1:7">
      <c r="A441" s="341" t="s">
        <v>2</v>
      </c>
      <c r="B441" s="353" t="s">
        <v>62</v>
      </c>
      <c r="C441" s="353" t="s">
        <v>4</v>
      </c>
      <c r="D441" s="353" t="s">
        <v>63</v>
      </c>
      <c r="E441" s="353" t="s">
        <v>64</v>
      </c>
      <c r="F441" s="353" t="s">
        <v>65</v>
      </c>
    </row>
    <row r="442" spans="1:7">
      <c r="A442" s="543" t="str">
        <f>'ORÇAMENTO - CASA DE FORÇA'!A174</f>
        <v>18.19</v>
      </c>
      <c r="B442" s="557" t="str">
        <f>'ORÇAMENTO - CASA DE FORÇA'!C174</f>
        <v>Projeto As-Built</v>
      </c>
      <c r="C442" s="557"/>
      <c r="D442" s="557"/>
      <c r="E442" s="557"/>
      <c r="F442" s="557"/>
    </row>
    <row r="443" spans="1:7">
      <c r="A443" s="344"/>
      <c r="B443" s="555" t="s">
        <v>66</v>
      </c>
      <c r="C443" s="555"/>
      <c r="D443" s="555"/>
      <c r="E443" s="555"/>
      <c r="F443" s="555"/>
    </row>
    <row r="444" spans="1:7">
      <c r="A444" s="398">
        <v>88266</v>
      </c>
      <c r="B444" s="38" t="s">
        <v>737</v>
      </c>
      <c r="C444" s="359" t="s">
        <v>18</v>
      </c>
      <c r="D444" s="399">
        <v>1</v>
      </c>
      <c r="E444" s="470">
        <v>2625.86</v>
      </c>
      <c r="F444" s="397">
        <f>ROUND(D444*E444,2)</f>
        <v>2625.86</v>
      </c>
      <c r="G444">
        <v>2625.86</v>
      </c>
    </row>
    <row r="445" spans="1:7">
      <c r="A445" s="554" t="s">
        <v>72</v>
      </c>
      <c r="B445" s="554"/>
      <c r="C445" s="554"/>
      <c r="D445" s="554"/>
      <c r="E445" s="554"/>
      <c r="F445" s="361">
        <f>SUM(F444:F444)</f>
        <v>2625.86</v>
      </c>
    </row>
    <row r="446" spans="1:7">
      <c r="A446" s="556" t="s">
        <v>73</v>
      </c>
      <c r="B446" s="556"/>
      <c r="C446" s="556"/>
      <c r="D446" s="556"/>
      <c r="E446" s="556"/>
      <c r="F446" s="361">
        <f>SUM(F445:F445)</f>
        <v>2625.86</v>
      </c>
    </row>
    <row r="447" spans="1:7">
      <c r="A447" s="554" t="s">
        <v>239</v>
      </c>
      <c r="B447" s="554"/>
      <c r="C447" s="554"/>
      <c r="D447" s="554"/>
      <c r="E447" s="554"/>
      <c r="F447" s="361">
        <f>SUM(F446)</f>
        <v>2625.86</v>
      </c>
    </row>
    <row r="448" spans="1:7">
      <c r="A448" s="554" t="s">
        <v>84</v>
      </c>
      <c r="B448" s="554"/>
      <c r="C448" s="554"/>
      <c r="D448" s="554"/>
      <c r="E448" s="554"/>
      <c r="F448" s="456">
        <f>F447</f>
        <v>2625.86</v>
      </c>
    </row>
  </sheetData>
  <mergeCells count="278">
    <mergeCell ref="A212:F212"/>
    <mergeCell ref="A201:E201"/>
    <mergeCell ref="A202:E202"/>
    <mergeCell ref="B203:F203"/>
    <mergeCell ref="A247:E247"/>
    <mergeCell ref="A248:E248"/>
    <mergeCell ref="B250:F250"/>
    <mergeCell ref="B251:F251"/>
    <mergeCell ref="A236:E236"/>
    <mergeCell ref="B226:F226"/>
    <mergeCell ref="B227:F227"/>
    <mergeCell ref="A230:E230"/>
    <mergeCell ref="A231:E231"/>
    <mergeCell ref="B232:F232"/>
    <mergeCell ref="A234:E234"/>
    <mergeCell ref="A235:E235"/>
    <mergeCell ref="B239:F239"/>
    <mergeCell ref="A242:E242"/>
    <mergeCell ref="A243:E243"/>
    <mergeCell ref="B244:F244"/>
    <mergeCell ref="A223:E223"/>
    <mergeCell ref="A222:E222"/>
    <mergeCell ref="B214:F214"/>
    <mergeCell ref="B219:F219"/>
    <mergeCell ref="A218:E218"/>
    <mergeCell ref="A221:E221"/>
    <mergeCell ref="B215:F215"/>
    <mergeCell ref="A217:E217"/>
    <mergeCell ref="B40:F40"/>
    <mergeCell ref="A43:E43"/>
    <mergeCell ref="A44:E44"/>
    <mergeCell ref="A47:E47"/>
    <mergeCell ref="A128:E128"/>
    <mergeCell ref="A122:E122"/>
    <mergeCell ref="B146:F146"/>
    <mergeCell ref="B147:F147"/>
    <mergeCell ref="B152:F152"/>
    <mergeCell ref="A151:E151"/>
    <mergeCell ref="B51:F51"/>
    <mergeCell ref="B52:F52"/>
    <mergeCell ref="A55:E55"/>
    <mergeCell ref="A56:E56"/>
    <mergeCell ref="B57:F57"/>
    <mergeCell ref="A60:E60"/>
    <mergeCell ref="A61:E61"/>
    <mergeCell ref="A62:E62"/>
    <mergeCell ref="B117:F117"/>
    <mergeCell ref="A143:E143"/>
    <mergeCell ref="A121:E121"/>
    <mergeCell ref="B104:F104"/>
    <mergeCell ref="B105:F105"/>
    <mergeCell ref="A48:E48"/>
    <mergeCell ref="A142:E142"/>
    <mergeCell ref="B132:F132"/>
    <mergeCell ref="A158:F158"/>
    <mergeCell ref="B118:F118"/>
    <mergeCell ref="A108:E108"/>
    <mergeCell ref="A109:E109"/>
    <mergeCell ref="B110:F110"/>
    <mergeCell ref="A112:E112"/>
    <mergeCell ref="A113:E113"/>
    <mergeCell ref="A114:E114"/>
    <mergeCell ref="A49:E49"/>
    <mergeCell ref="A68:E68"/>
    <mergeCell ref="A69:E69"/>
    <mergeCell ref="B70:F70"/>
    <mergeCell ref="A73:E73"/>
    <mergeCell ref="A74:E74"/>
    <mergeCell ref="A75:E75"/>
    <mergeCell ref="A81:E81"/>
    <mergeCell ref="A82:E82"/>
    <mergeCell ref="A175:E175"/>
    <mergeCell ref="A176:E176"/>
    <mergeCell ref="A126:E126"/>
    <mergeCell ref="A127:E127"/>
    <mergeCell ref="B123:F123"/>
    <mergeCell ref="A155:E155"/>
    <mergeCell ref="A135:E135"/>
    <mergeCell ref="A136:E136"/>
    <mergeCell ref="B137:F137"/>
    <mergeCell ref="A129:F129"/>
    <mergeCell ref="B131:F131"/>
    <mergeCell ref="A141:E141"/>
    <mergeCell ref="A156:E156"/>
    <mergeCell ref="A144:F144"/>
    <mergeCell ref="A8:F8"/>
    <mergeCell ref="A9:F9"/>
    <mergeCell ref="A10:F10"/>
    <mergeCell ref="A14:F14"/>
    <mergeCell ref="A12:F12"/>
    <mergeCell ref="A16:F16"/>
    <mergeCell ref="A36:E36"/>
    <mergeCell ref="B24:F24"/>
    <mergeCell ref="A34:E34"/>
    <mergeCell ref="B25:F25"/>
    <mergeCell ref="A23:F23"/>
    <mergeCell ref="A35:E35"/>
    <mergeCell ref="A28:E28"/>
    <mergeCell ref="A29:E29"/>
    <mergeCell ref="B30:F30"/>
    <mergeCell ref="A37:F37"/>
    <mergeCell ref="B45:F45"/>
    <mergeCell ref="B77:F77"/>
    <mergeCell ref="B78:F78"/>
    <mergeCell ref="B39:F39"/>
    <mergeCell ref="B187:F187"/>
    <mergeCell ref="B188:F188"/>
    <mergeCell ref="A194:E194"/>
    <mergeCell ref="B160:F160"/>
    <mergeCell ref="B161:F161"/>
    <mergeCell ref="A164:E164"/>
    <mergeCell ref="A165:E165"/>
    <mergeCell ref="B166:F166"/>
    <mergeCell ref="A174:E174"/>
    <mergeCell ref="B96:F96"/>
    <mergeCell ref="A100:E100"/>
    <mergeCell ref="A101:E101"/>
    <mergeCell ref="A102:F102"/>
    <mergeCell ref="B179:F179"/>
    <mergeCell ref="B180:F180"/>
    <mergeCell ref="A184:E184"/>
    <mergeCell ref="A185:E185"/>
    <mergeCell ref="B64:F64"/>
    <mergeCell ref="B65:F65"/>
    <mergeCell ref="B83:F83"/>
    <mergeCell ref="A85:E85"/>
    <mergeCell ref="A86:E86"/>
    <mergeCell ref="A87:E87"/>
    <mergeCell ref="B89:F89"/>
    <mergeCell ref="B90:F90"/>
    <mergeCell ref="A254:E254"/>
    <mergeCell ref="A255:E255"/>
    <mergeCell ref="B256:F256"/>
    <mergeCell ref="B198:F198"/>
    <mergeCell ref="A195:E195"/>
    <mergeCell ref="A196:F196"/>
    <mergeCell ref="A177:F177"/>
    <mergeCell ref="A150:E150"/>
    <mergeCell ref="B199:F199"/>
    <mergeCell ref="A94:E94"/>
    <mergeCell ref="A95:E95"/>
    <mergeCell ref="B209:E209"/>
    <mergeCell ref="A210:E210"/>
    <mergeCell ref="A211:E211"/>
    <mergeCell ref="A224:F224"/>
    <mergeCell ref="A157:E157"/>
    <mergeCell ref="A246:E246"/>
    <mergeCell ref="B238:F238"/>
    <mergeCell ref="A258:E258"/>
    <mergeCell ref="A259:E259"/>
    <mergeCell ref="A260:E260"/>
    <mergeCell ref="B262:F262"/>
    <mergeCell ref="B263:F263"/>
    <mergeCell ref="A266:E266"/>
    <mergeCell ref="A267:E267"/>
    <mergeCell ref="B268:F268"/>
    <mergeCell ref="A270:E270"/>
    <mergeCell ref="A271:E271"/>
    <mergeCell ref="A272:E272"/>
    <mergeCell ref="B274:F274"/>
    <mergeCell ref="B275:F275"/>
    <mergeCell ref="A278:E278"/>
    <mergeCell ref="A279:E279"/>
    <mergeCell ref="B280:F280"/>
    <mergeCell ref="A282:E282"/>
    <mergeCell ref="A283:E283"/>
    <mergeCell ref="A284:E284"/>
    <mergeCell ref="B286:F286"/>
    <mergeCell ref="B287:F287"/>
    <mergeCell ref="A290:E290"/>
    <mergeCell ref="A291:E291"/>
    <mergeCell ref="B292:F292"/>
    <mergeCell ref="A294:E294"/>
    <mergeCell ref="A295:E295"/>
    <mergeCell ref="A296:E296"/>
    <mergeCell ref="B298:F298"/>
    <mergeCell ref="B299:F299"/>
    <mergeCell ref="A302:E302"/>
    <mergeCell ref="A303:E303"/>
    <mergeCell ref="B304:F304"/>
    <mergeCell ref="A306:E306"/>
    <mergeCell ref="A307:E307"/>
    <mergeCell ref="A308:E308"/>
    <mergeCell ref="B310:F310"/>
    <mergeCell ref="B311:F311"/>
    <mergeCell ref="A314:E314"/>
    <mergeCell ref="A315:E315"/>
    <mergeCell ref="B316:F316"/>
    <mergeCell ref="A318:E318"/>
    <mergeCell ref="A319:E319"/>
    <mergeCell ref="A320:E320"/>
    <mergeCell ref="B322:F322"/>
    <mergeCell ref="B323:F323"/>
    <mergeCell ref="A367:E367"/>
    <mergeCell ref="A356:E356"/>
    <mergeCell ref="A344:E344"/>
    <mergeCell ref="A368:E368"/>
    <mergeCell ref="B370:F370"/>
    <mergeCell ref="B371:F371"/>
    <mergeCell ref="A326:E326"/>
    <mergeCell ref="A327:E327"/>
    <mergeCell ref="B328:F328"/>
    <mergeCell ref="A330:E330"/>
    <mergeCell ref="A331:E331"/>
    <mergeCell ref="A332:E332"/>
    <mergeCell ref="B358:F358"/>
    <mergeCell ref="B359:F359"/>
    <mergeCell ref="A362:E362"/>
    <mergeCell ref="A374:E374"/>
    <mergeCell ref="A375:E375"/>
    <mergeCell ref="B376:F376"/>
    <mergeCell ref="A378:E378"/>
    <mergeCell ref="A380:E380"/>
    <mergeCell ref="A115:F115"/>
    <mergeCell ref="B334:F334"/>
    <mergeCell ref="B335:F335"/>
    <mergeCell ref="A338:E338"/>
    <mergeCell ref="A339:E339"/>
    <mergeCell ref="B340:F340"/>
    <mergeCell ref="A342:E342"/>
    <mergeCell ref="A343:E343"/>
    <mergeCell ref="A379:E379"/>
    <mergeCell ref="B346:F346"/>
    <mergeCell ref="B347:F347"/>
    <mergeCell ref="A350:E350"/>
    <mergeCell ref="A351:E351"/>
    <mergeCell ref="B352:F352"/>
    <mergeCell ref="A354:E354"/>
    <mergeCell ref="A355:E355"/>
    <mergeCell ref="A363:E363"/>
    <mergeCell ref="B364:F364"/>
    <mergeCell ref="A366:E366"/>
    <mergeCell ref="B382:F382"/>
    <mergeCell ref="B383:F383"/>
    <mergeCell ref="A386:E386"/>
    <mergeCell ref="A387:E387"/>
    <mergeCell ref="B388:F388"/>
    <mergeCell ref="A390:E390"/>
    <mergeCell ref="A391:E391"/>
    <mergeCell ref="A392:E392"/>
    <mergeCell ref="B394:F394"/>
    <mergeCell ref="B395:F395"/>
    <mergeCell ref="A398:E398"/>
    <mergeCell ref="A399:E399"/>
    <mergeCell ref="B400:F400"/>
    <mergeCell ref="A402:E402"/>
    <mergeCell ref="A403:E403"/>
    <mergeCell ref="A404:E404"/>
    <mergeCell ref="B406:F406"/>
    <mergeCell ref="B407:F407"/>
    <mergeCell ref="A410:E410"/>
    <mergeCell ref="A411:E411"/>
    <mergeCell ref="B412:F412"/>
    <mergeCell ref="A414:E414"/>
    <mergeCell ref="A415:E415"/>
    <mergeCell ref="A416:E416"/>
    <mergeCell ref="B418:F418"/>
    <mergeCell ref="B419:F419"/>
    <mergeCell ref="A422:E422"/>
    <mergeCell ref="A423:E423"/>
    <mergeCell ref="B424:F424"/>
    <mergeCell ref="A426:E426"/>
    <mergeCell ref="A427:E427"/>
    <mergeCell ref="A428:E428"/>
    <mergeCell ref="B430:F430"/>
    <mergeCell ref="B431:F431"/>
    <mergeCell ref="A434:E434"/>
    <mergeCell ref="A435:E435"/>
    <mergeCell ref="A447:E447"/>
    <mergeCell ref="A448:E448"/>
    <mergeCell ref="B436:F436"/>
    <mergeCell ref="A438:E438"/>
    <mergeCell ref="A439:E439"/>
    <mergeCell ref="A440:E440"/>
    <mergeCell ref="B442:F442"/>
    <mergeCell ref="B443:F443"/>
    <mergeCell ref="A445:E445"/>
    <mergeCell ref="A446:E4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0" orientation="portrait" r:id="rId1"/>
  <headerFooter>
    <oddFooter>Página &amp;P de &amp;N</oddFooter>
  </headerFooter>
  <rowBreaks count="2" manualBreakCount="2">
    <brk id="143" max="5" man="1"/>
    <brk id="184" max="5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16"/>
  <sheetViews>
    <sheetView topLeftCell="A685" zoomScale="85" zoomScaleNormal="85" workbookViewId="0">
      <selection activeCell="A716" sqref="A716:E716"/>
    </sheetView>
  </sheetViews>
  <sheetFormatPr defaultRowHeight="15"/>
  <cols>
    <col min="1" max="1" width="14.85546875" customWidth="1"/>
    <col min="2" max="2" width="53.7109375" customWidth="1"/>
    <col min="3" max="3" width="10.28515625" customWidth="1"/>
    <col min="4" max="4" width="14.140625" customWidth="1"/>
    <col min="5" max="5" width="13.42578125" customWidth="1"/>
    <col min="6" max="6" width="13.140625" customWidth="1"/>
  </cols>
  <sheetData>
    <row r="1" spans="1:10" s="76" customFormat="1" ht="15" customHeight="1" thickBot="1">
      <c r="A1" s="678" t="s">
        <v>245</v>
      </c>
      <c r="B1" s="679"/>
      <c r="C1" s="679"/>
      <c r="D1" s="679"/>
      <c r="E1" s="679"/>
      <c r="F1" s="680"/>
    </row>
    <row r="2" spans="1:10" s="63" customFormat="1" ht="15" customHeight="1">
      <c r="A2" s="68" t="s">
        <v>2</v>
      </c>
      <c r="B2" s="69" t="s">
        <v>62</v>
      </c>
      <c r="C2" s="69" t="s">
        <v>4</v>
      </c>
      <c r="D2" s="69" t="s">
        <v>112</v>
      </c>
      <c r="E2" s="69" t="s">
        <v>64</v>
      </c>
      <c r="F2" s="70" t="s">
        <v>65</v>
      </c>
      <c r="G2" s="71"/>
      <c r="H2" s="71"/>
      <c r="I2" s="72"/>
      <c r="J2" s="72"/>
    </row>
    <row r="3" spans="1:10" s="63" customFormat="1" ht="17.100000000000001" customHeight="1">
      <c r="A3" s="215"/>
      <c r="B3" s="611" t="s">
        <v>238</v>
      </c>
      <c r="C3" s="611"/>
      <c r="D3" s="611"/>
      <c r="E3" s="611"/>
      <c r="F3" s="612"/>
      <c r="G3" s="71"/>
      <c r="H3" s="71"/>
      <c r="I3" s="72"/>
      <c r="J3" s="72"/>
    </row>
    <row r="4" spans="1:10" s="63" customFormat="1" ht="17.100000000000001" customHeight="1">
      <c r="A4" s="221"/>
      <c r="B4" s="686" t="s">
        <v>66</v>
      </c>
      <c r="C4" s="686"/>
      <c r="D4" s="686"/>
      <c r="E4" s="686"/>
      <c r="F4" s="687"/>
      <c r="G4" s="71"/>
      <c r="H4" s="71"/>
      <c r="I4" s="72"/>
      <c r="J4" s="72"/>
    </row>
    <row r="5" spans="1:10" s="63" customFormat="1" ht="17.100000000000001" customHeight="1">
      <c r="A5" s="116" t="s">
        <v>67</v>
      </c>
      <c r="B5" s="222" t="s">
        <v>68</v>
      </c>
      <c r="C5" s="161" t="s">
        <v>69</v>
      </c>
      <c r="D5" s="223">
        <v>1.5</v>
      </c>
      <c r="E5" s="120">
        <v>10.7</v>
      </c>
      <c r="F5" s="224">
        <f>ROUND(D5*E5,2)</f>
        <v>16.05</v>
      </c>
      <c r="G5" s="71"/>
      <c r="H5" s="71"/>
      <c r="I5" s="72"/>
      <c r="J5" s="72"/>
    </row>
    <row r="6" spans="1:10" s="63" customFormat="1" ht="17.100000000000001" customHeight="1">
      <c r="A6" s="116" t="s">
        <v>70</v>
      </c>
      <c r="B6" s="222" t="s">
        <v>71</v>
      </c>
      <c r="C6" s="161" t="s">
        <v>69</v>
      </c>
      <c r="D6" s="223">
        <v>3.5</v>
      </c>
      <c r="E6" s="120">
        <v>8.5299999999999994</v>
      </c>
      <c r="F6" s="224">
        <f>ROUND(D6*E6,2)</f>
        <v>29.86</v>
      </c>
      <c r="G6" s="74"/>
      <c r="H6" s="71"/>
      <c r="I6" s="72"/>
      <c r="J6" s="72"/>
    </row>
    <row r="7" spans="1:10" s="63" customFormat="1" ht="17.100000000000001" customHeight="1">
      <c r="A7" s="620" t="s">
        <v>72</v>
      </c>
      <c r="B7" s="614"/>
      <c r="C7" s="614"/>
      <c r="D7" s="614"/>
      <c r="E7" s="614"/>
      <c r="F7" s="225">
        <f>SUM(F5:F6)</f>
        <v>45.91</v>
      </c>
      <c r="G7" s="72"/>
      <c r="H7" s="72"/>
      <c r="I7" s="72"/>
      <c r="J7" s="72"/>
    </row>
    <row r="8" spans="1:10" s="63" customFormat="1" ht="17.100000000000001" customHeight="1">
      <c r="A8" s="688" t="s">
        <v>239</v>
      </c>
      <c r="B8" s="689"/>
      <c r="C8" s="689"/>
      <c r="D8" s="689"/>
      <c r="E8" s="689"/>
      <c r="F8" s="225">
        <f>SUM(F7:F7)</f>
        <v>45.91</v>
      </c>
    </row>
    <row r="9" spans="1:10" s="63" customFormat="1" ht="17.100000000000001" customHeight="1">
      <c r="A9" s="221"/>
      <c r="B9" s="611" t="s">
        <v>74</v>
      </c>
      <c r="C9" s="611"/>
      <c r="D9" s="611"/>
      <c r="E9" s="611"/>
      <c r="F9" s="612"/>
      <c r="G9" s="72"/>
      <c r="H9" s="72"/>
      <c r="I9" s="72"/>
      <c r="J9" s="72"/>
    </row>
    <row r="10" spans="1:10" s="63" customFormat="1" ht="17.100000000000001" customHeight="1">
      <c r="A10" s="221" t="s">
        <v>267</v>
      </c>
      <c r="B10" s="222" t="s">
        <v>240</v>
      </c>
      <c r="C10" s="161" t="s">
        <v>18</v>
      </c>
      <c r="D10" s="223">
        <v>1</v>
      </c>
      <c r="E10" s="226">
        <v>7.21</v>
      </c>
      <c r="F10" s="224">
        <f t="shared" ref="F10:F15" si="0">ROUND(D10*E10,2)</f>
        <v>7.21</v>
      </c>
    </row>
    <row r="11" spans="1:10" s="63" customFormat="1" ht="17.100000000000001" customHeight="1">
      <c r="A11" s="221" t="s">
        <v>268</v>
      </c>
      <c r="B11" s="222" t="s">
        <v>241</v>
      </c>
      <c r="C11" s="161" t="s">
        <v>17</v>
      </c>
      <c r="D11" s="223">
        <v>25</v>
      </c>
      <c r="E11" s="226">
        <v>5.17</v>
      </c>
      <c r="F11" s="224">
        <f t="shared" si="0"/>
        <v>129.25</v>
      </c>
    </row>
    <row r="12" spans="1:10" s="63" customFormat="1" ht="17.100000000000001" customHeight="1">
      <c r="A12" s="221" t="s">
        <v>269</v>
      </c>
      <c r="B12" s="222" t="s">
        <v>242</v>
      </c>
      <c r="C12" s="161" t="s">
        <v>18</v>
      </c>
      <c r="D12" s="223">
        <v>7.25</v>
      </c>
      <c r="E12" s="226">
        <v>11.6</v>
      </c>
      <c r="F12" s="224">
        <f t="shared" si="0"/>
        <v>84.1</v>
      </c>
    </row>
    <row r="13" spans="1:10" s="63" customFormat="1" ht="17.100000000000001" customHeight="1">
      <c r="A13" s="221" t="s">
        <v>270</v>
      </c>
      <c r="B13" s="222" t="s">
        <v>243</v>
      </c>
      <c r="C13" s="161" t="s">
        <v>18</v>
      </c>
      <c r="D13" s="223">
        <v>2</v>
      </c>
      <c r="E13" s="226">
        <v>2.25</v>
      </c>
      <c r="F13" s="224">
        <f t="shared" si="0"/>
        <v>4.5</v>
      </c>
    </row>
    <row r="14" spans="1:10" s="63" customFormat="1" ht="17.100000000000001" customHeight="1">
      <c r="A14" s="116" t="s">
        <v>77</v>
      </c>
      <c r="B14" s="222" t="s">
        <v>78</v>
      </c>
      <c r="C14" s="161" t="s">
        <v>14</v>
      </c>
      <c r="D14" s="223">
        <v>6.0000000000000001E-3</v>
      </c>
      <c r="E14" s="139">
        <v>31.96</v>
      </c>
      <c r="F14" s="224">
        <f t="shared" si="0"/>
        <v>0.19</v>
      </c>
    </row>
    <row r="15" spans="1:10" s="75" customFormat="1" ht="17.100000000000001" customHeight="1">
      <c r="A15" s="116" t="s">
        <v>79</v>
      </c>
      <c r="B15" s="222" t="s">
        <v>80</v>
      </c>
      <c r="C15" s="161" t="s">
        <v>81</v>
      </c>
      <c r="D15" s="223">
        <v>2.5000000000000001E-3</v>
      </c>
      <c r="E15" s="139">
        <v>37.85</v>
      </c>
      <c r="F15" s="224">
        <f t="shared" si="0"/>
        <v>0.09</v>
      </c>
    </row>
    <row r="16" spans="1:10" s="63" customFormat="1" ht="17.100000000000001" customHeight="1">
      <c r="A16" s="688" t="s">
        <v>244</v>
      </c>
      <c r="B16" s="689"/>
      <c r="C16" s="689"/>
      <c r="D16" s="689"/>
      <c r="E16" s="689"/>
      <c r="F16" s="225">
        <f>SUM(F10:F15)</f>
        <v>225.34</v>
      </c>
    </row>
    <row r="17" spans="1:6" s="63" customFormat="1" ht="17.100000000000001" customHeight="1">
      <c r="A17" s="688" t="s">
        <v>83</v>
      </c>
      <c r="B17" s="689"/>
      <c r="C17" s="689"/>
      <c r="D17" s="689"/>
      <c r="E17" s="689"/>
      <c r="F17" s="225">
        <f>SUM(F8+F16)</f>
        <v>271.25</v>
      </c>
    </row>
    <row r="18" spans="1:6" s="63" customFormat="1" ht="17.100000000000001" customHeight="1">
      <c r="A18" s="688" t="s">
        <v>84</v>
      </c>
      <c r="B18" s="689"/>
      <c r="C18" s="689"/>
      <c r="D18" s="689"/>
      <c r="E18" s="689"/>
      <c r="F18" s="225">
        <f>F17</f>
        <v>271.25</v>
      </c>
    </row>
    <row r="19" spans="1:6" ht="15.75">
      <c r="A19" s="22" t="s">
        <v>2</v>
      </c>
      <c r="B19" s="22" t="s">
        <v>62</v>
      </c>
      <c r="C19" s="22" t="s">
        <v>4</v>
      </c>
      <c r="D19" s="22" t="s">
        <v>112</v>
      </c>
      <c r="E19" s="22" t="s">
        <v>64</v>
      </c>
      <c r="F19" s="22" t="s">
        <v>65</v>
      </c>
    </row>
    <row r="20" spans="1:6" ht="15.75">
      <c r="A20" s="243"/>
      <c r="B20" s="630" t="s">
        <v>413</v>
      </c>
      <c r="C20" s="630"/>
      <c r="D20" s="630"/>
      <c r="E20" s="630"/>
      <c r="F20" s="630"/>
    </row>
    <row r="21" spans="1:6" ht="15.75">
      <c r="A21" s="245"/>
      <c r="B21" s="640" t="s">
        <v>66</v>
      </c>
      <c r="C21" s="640"/>
      <c r="D21" s="640"/>
      <c r="E21" s="640"/>
      <c r="F21" s="640"/>
    </row>
    <row r="22" spans="1:6" ht="15.75">
      <c r="A22" s="246">
        <v>1213</v>
      </c>
      <c r="B22" s="247" t="s">
        <v>118</v>
      </c>
      <c r="C22" s="213" t="s">
        <v>69</v>
      </c>
      <c r="D22" s="154">
        <v>0.8</v>
      </c>
      <c r="E22" s="120">
        <v>10.7</v>
      </c>
      <c r="F22" s="120">
        <f>D22*E22</f>
        <v>8.56</v>
      </c>
    </row>
    <row r="23" spans="1:6" ht="15.75">
      <c r="A23" s="246">
        <v>6115</v>
      </c>
      <c r="B23" s="247" t="s">
        <v>124</v>
      </c>
      <c r="C23" s="213" t="s">
        <v>69</v>
      </c>
      <c r="D23" s="154">
        <v>0.8</v>
      </c>
      <c r="E23" s="120">
        <v>7.73</v>
      </c>
      <c r="F23" s="120">
        <f>D23*E23</f>
        <v>6.18</v>
      </c>
    </row>
    <row r="24" spans="1:6" ht="15.75">
      <c r="A24" s="631" t="s">
        <v>72</v>
      </c>
      <c r="B24" s="631"/>
      <c r="C24" s="631"/>
      <c r="D24" s="631"/>
      <c r="E24" s="631"/>
      <c r="F24" s="155">
        <f>SUM(F22:F23)</f>
        <v>14.74</v>
      </c>
    </row>
    <row r="25" spans="1:6" ht="15.75">
      <c r="A25" s="635" t="s">
        <v>414</v>
      </c>
      <c r="B25" s="635"/>
      <c r="C25" s="635"/>
      <c r="D25" s="635"/>
      <c r="E25" s="635"/>
      <c r="F25" s="155">
        <f>SUM(F24)</f>
        <v>14.74</v>
      </c>
    </row>
    <row r="26" spans="1:6" ht="15.75">
      <c r="A26" s="245"/>
      <c r="B26" s="630" t="s">
        <v>74</v>
      </c>
      <c r="C26" s="630"/>
      <c r="D26" s="630"/>
      <c r="E26" s="630"/>
      <c r="F26" s="630"/>
    </row>
    <row r="27" spans="1:6" ht="15.75">
      <c r="A27" s="248">
        <v>7191</v>
      </c>
      <c r="B27" s="249" t="s">
        <v>415</v>
      </c>
      <c r="C27" s="250" t="s">
        <v>18</v>
      </c>
      <c r="D27" s="154">
        <v>1</v>
      </c>
      <c r="E27" s="251">
        <v>12.12</v>
      </c>
      <c r="F27" s="252">
        <f>D27*E27</f>
        <v>12.12</v>
      </c>
    </row>
    <row r="28" spans="1:6" ht="15.75">
      <c r="A28" s="248">
        <v>5061</v>
      </c>
      <c r="B28" s="249" t="s">
        <v>416</v>
      </c>
      <c r="C28" s="250" t="s">
        <v>256</v>
      </c>
      <c r="D28" s="154">
        <v>0.15</v>
      </c>
      <c r="E28" s="251">
        <v>6.6</v>
      </c>
      <c r="F28" s="252">
        <f>D28*E28</f>
        <v>0.99</v>
      </c>
    </row>
    <row r="29" spans="1:6" ht="15.75">
      <c r="A29" s="246">
        <v>4513</v>
      </c>
      <c r="B29" s="177" t="s">
        <v>417</v>
      </c>
      <c r="C29" s="250" t="s">
        <v>17</v>
      </c>
      <c r="D29" s="154">
        <v>3.15</v>
      </c>
      <c r="E29" s="251">
        <v>1.17</v>
      </c>
      <c r="F29" s="252">
        <f>D29*E29</f>
        <v>3.69</v>
      </c>
    </row>
    <row r="30" spans="1:6" ht="15.75">
      <c r="A30" s="691" t="s">
        <v>418</v>
      </c>
      <c r="B30" s="691"/>
      <c r="C30" s="691"/>
      <c r="D30" s="691"/>
      <c r="E30" s="691"/>
      <c r="F30" s="253">
        <f>SUM(F27:F29)</f>
        <v>16.8</v>
      </c>
    </row>
    <row r="31" spans="1:6" ht="15.75">
      <c r="A31" s="635" t="s">
        <v>83</v>
      </c>
      <c r="B31" s="635"/>
      <c r="C31" s="635"/>
      <c r="D31" s="635"/>
      <c r="E31" s="635"/>
      <c r="F31" s="155">
        <f>SUM(F25,F30)</f>
        <v>31.54</v>
      </c>
    </row>
    <row r="32" spans="1:6" ht="15.75">
      <c r="A32" s="692" t="s">
        <v>419</v>
      </c>
      <c r="B32" s="693"/>
      <c r="C32" s="693"/>
      <c r="D32" s="693"/>
      <c r="E32" s="694"/>
      <c r="F32" s="233">
        <f>0.2784*F31</f>
        <v>8.7799999999999994</v>
      </c>
    </row>
    <row r="33" spans="1:6" ht="15.75">
      <c r="A33" s="635" t="s">
        <v>84</v>
      </c>
      <c r="B33" s="635"/>
      <c r="C33" s="635"/>
      <c r="D33" s="635"/>
      <c r="E33" s="635"/>
      <c r="F33" s="155">
        <f>SUM(F31:F32)</f>
        <v>40.32</v>
      </c>
    </row>
    <row r="34" spans="1:6" ht="15.75">
      <c r="A34" s="22" t="s">
        <v>2</v>
      </c>
      <c r="B34" s="22" t="s">
        <v>62</v>
      </c>
      <c r="C34" s="22" t="s">
        <v>4</v>
      </c>
      <c r="D34" s="22" t="s">
        <v>63</v>
      </c>
      <c r="E34" s="22" t="s">
        <v>64</v>
      </c>
      <c r="F34" s="22" t="s">
        <v>65</v>
      </c>
    </row>
    <row r="35" spans="1:6" ht="15.75">
      <c r="A35" s="150"/>
      <c r="B35" s="665" t="s">
        <v>323</v>
      </c>
      <c r="C35" s="690"/>
      <c r="D35" s="690"/>
      <c r="E35" s="690"/>
      <c r="F35" s="690"/>
    </row>
    <row r="36" spans="1:6" ht="15.75">
      <c r="A36" s="151"/>
      <c r="B36" s="630" t="s">
        <v>66</v>
      </c>
      <c r="C36" s="630"/>
      <c r="D36" s="630"/>
      <c r="E36" s="630"/>
      <c r="F36" s="630"/>
    </row>
    <row r="37" spans="1:6" ht="15.75">
      <c r="A37" s="116" t="s">
        <v>218</v>
      </c>
      <c r="B37" s="152" t="s">
        <v>219</v>
      </c>
      <c r="C37" s="153" t="s">
        <v>69</v>
      </c>
      <c r="D37" s="154">
        <v>0.09</v>
      </c>
      <c r="E37" s="120">
        <v>10.7</v>
      </c>
      <c r="F37" s="120">
        <f>E37*D37</f>
        <v>0.96</v>
      </c>
    </row>
    <row r="38" spans="1:6" ht="15.75">
      <c r="A38" s="116" t="s">
        <v>220</v>
      </c>
      <c r="B38" s="152" t="s">
        <v>221</v>
      </c>
      <c r="C38" s="153" t="s">
        <v>69</v>
      </c>
      <c r="D38" s="154">
        <v>0.09</v>
      </c>
      <c r="E38" s="120">
        <v>8.4700000000000006</v>
      </c>
      <c r="F38" s="120">
        <f>E38*D38</f>
        <v>0.76</v>
      </c>
    </row>
    <row r="39" spans="1:6" ht="15.75">
      <c r="A39" s="631" t="s">
        <v>72</v>
      </c>
      <c r="B39" s="631"/>
      <c r="C39" s="631"/>
      <c r="D39" s="631"/>
      <c r="E39" s="631"/>
      <c r="F39" s="155">
        <f>SUM(F37:F38)</f>
        <v>1.72</v>
      </c>
    </row>
    <row r="40" spans="1:6" ht="15.75">
      <c r="A40" s="631" t="s">
        <v>73</v>
      </c>
      <c r="B40" s="631"/>
      <c r="C40" s="631"/>
      <c r="D40" s="631"/>
      <c r="E40" s="631"/>
      <c r="F40" s="155">
        <f>SUM(F39:F39)</f>
        <v>1.72</v>
      </c>
    </row>
    <row r="41" spans="1:6" ht="15.75">
      <c r="A41" s="179"/>
      <c r="B41" s="630" t="s">
        <v>74</v>
      </c>
      <c r="C41" s="630"/>
      <c r="D41" s="630"/>
      <c r="E41" s="630"/>
      <c r="F41" s="630"/>
    </row>
    <row r="42" spans="1:6" ht="15.75">
      <c r="A42" s="192" t="s">
        <v>324</v>
      </c>
      <c r="B42" s="152" t="s">
        <v>325</v>
      </c>
      <c r="C42" s="153" t="s">
        <v>17</v>
      </c>
      <c r="D42" s="154">
        <f>20</f>
        <v>20</v>
      </c>
      <c r="E42" s="120">
        <v>1.64</v>
      </c>
      <c r="F42" s="120">
        <f>E42*D42</f>
        <v>32.799999999999997</v>
      </c>
    </row>
    <row r="43" spans="1:6" ht="15.75">
      <c r="A43" s="631" t="s">
        <v>82</v>
      </c>
      <c r="B43" s="631"/>
      <c r="C43" s="631"/>
      <c r="D43" s="631"/>
      <c r="E43" s="631"/>
      <c r="F43" s="155">
        <f>F42</f>
        <v>32.799999999999997</v>
      </c>
    </row>
    <row r="44" spans="1:6" ht="15.75">
      <c r="A44" s="635" t="s">
        <v>83</v>
      </c>
      <c r="B44" s="635"/>
      <c r="C44" s="635"/>
      <c r="D44" s="635"/>
      <c r="E44" s="635"/>
      <c r="F44" s="155">
        <f>SUM(F40+F43)</f>
        <v>34.520000000000003</v>
      </c>
    </row>
    <row r="45" spans="1:6" ht="15.75">
      <c r="A45" s="635" t="s">
        <v>84</v>
      </c>
      <c r="B45" s="635"/>
      <c r="C45" s="635"/>
      <c r="D45" s="635"/>
      <c r="E45" s="635"/>
      <c r="F45" s="155">
        <f>F44</f>
        <v>34.520000000000003</v>
      </c>
    </row>
    <row r="46" spans="1:6" s="63" customFormat="1" ht="17.100000000000001" customHeight="1">
      <c r="A46" s="22" t="s">
        <v>2</v>
      </c>
      <c r="B46" s="22" t="s">
        <v>62</v>
      </c>
      <c r="C46" s="22" t="s">
        <v>4</v>
      </c>
      <c r="D46" s="22" t="s">
        <v>112</v>
      </c>
      <c r="E46" s="22" t="s">
        <v>64</v>
      </c>
      <c r="F46" s="22" t="s">
        <v>65</v>
      </c>
    </row>
    <row r="47" spans="1:6" s="63" customFormat="1" ht="17.100000000000001" customHeight="1">
      <c r="A47" s="77" t="s">
        <v>42</v>
      </c>
      <c r="B47" s="681" t="s">
        <v>246</v>
      </c>
      <c r="C47" s="682"/>
      <c r="D47" s="682"/>
      <c r="E47" s="682"/>
      <c r="F47" s="683"/>
    </row>
    <row r="48" spans="1:6" s="63" customFormat="1" ht="15.75">
      <c r="A48" s="78"/>
      <c r="B48" s="684" t="s">
        <v>66</v>
      </c>
      <c r="C48" s="684"/>
      <c r="D48" s="684"/>
      <c r="E48" s="684"/>
      <c r="F48" s="685"/>
    </row>
    <row r="49" spans="1:6" s="63" customFormat="1" ht="15.75">
      <c r="A49" s="25" t="s">
        <v>218</v>
      </c>
      <c r="B49" s="79" t="s">
        <v>219</v>
      </c>
      <c r="C49" s="80" t="s">
        <v>69</v>
      </c>
      <c r="D49" s="81">
        <v>0.5</v>
      </c>
      <c r="E49" s="47">
        <v>9.82</v>
      </c>
      <c r="F49" s="82">
        <f>E49*D49</f>
        <v>4.91</v>
      </c>
    </row>
    <row r="50" spans="1:6" s="63" customFormat="1" ht="17.100000000000001" customHeight="1">
      <c r="A50" s="25" t="s">
        <v>220</v>
      </c>
      <c r="B50" s="79" t="s">
        <v>221</v>
      </c>
      <c r="C50" s="80" t="s">
        <v>69</v>
      </c>
      <c r="D50" s="81">
        <v>0.5</v>
      </c>
      <c r="E50" s="47">
        <v>7.77</v>
      </c>
      <c r="F50" s="82">
        <f>E50*D50</f>
        <v>3.89</v>
      </c>
    </row>
    <row r="51" spans="1:6" s="63" customFormat="1" ht="17.100000000000001" customHeight="1">
      <c r="A51" s="697" t="s">
        <v>72</v>
      </c>
      <c r="B51" s="698"/>
      <c r="C51" s="698"/>
      <c r="D51" s="698"/>
      <c r="E51" s="698"/>
      <c r="F51" s="84">
        <f>SUM(F49:F50)</f>
        <v>8.8000000000000007</v>
      </c>
    </row>
    <row r="52" spans="1:6" s="63" customFormat="1" ht="17.100000000000001" customHeight="1">
      <c r="A52" s="697" t="s">
        <v>73</v>
      </c>
      <c r="B52" s="698"/>
      <c r="C52" s="698"/>
      <c r="D52" s="698"/>
      <c r="E52" s="698"/>
      <c r="F52" s="84">
        <f>SUM(F51:F51)</f>
        <v>8.8000000000000007</v>
      </c>
    </row>
    <row r="53" spans="1:6" s="63" customFormat="1" ht="17.100000000000001" customHeight="1">
      <c r="A53" s="83"/>
      <c r="B53" s="684" t="s">
        <v>74</v>
      </c>
      <c r="C53" s="684"/>
      <c r="D53" s="684"/>
      <c r="E53" s="684"/>
      <c r="F53" s="685"/>
    </row>
    <row r="54" spans="1:6" s="63" customFormat="1" ht="31.5">
      <c r="A54" s="98" t="s">
        <v>271</v>
      </c>
      <c r="B54" s="79" t="s">
        <v>247</v>
      </c>
      <c r="C54" s="80" t="s">
        <v>18</v>
      </c>
      <c r="D54" s="81">
        <v>1</v>
      </c>
      <c r="E54" s="88">
        <v>136.5</v>
      </c>
      <c r="F54" s="82">
        <f>E54*D54</f>
        <v>136.5</v>
      </c>
    </row>
    <row r="55" spans="1:6" s="63" customFormat="1" ht="17.100000000000001" customHeight="1">
      <c r="A55" s="98" t="s">
        <v>271</v>
      </c>
      <c r="B55" s="85" t="s">
        <v>248</v>
      </c>
      <c r="C55" s="86" t="s">
        <v>18</v>
      </c>
      <c r="D55" s="87">
        <v>1</v>
      </c>
      <c r="E55" s="88">
        <v>46.65</v>
      </c>
      <c r="F55" s="89">
        <f>ROUND(D55*E55,2)</f>
        <v>46.65</v>
      </c>
    </row>
    <row r="56" spans="1:6" s="63" customFormat="1" ht="17.100000000000001" customHeight="1">
      <c r="A56" s="25" t="s">
        <v>272</v>
      </c>
      <c r="B56" s="85" t="s">
        <v>249</v>
      </c>
      <c r="C56" s="86" t="s">
        <v>18</v>
      </c>
      <c r="D56" s="87">
        <v>1</v>
      </c>
      <c r="E56" s="88">
        <v>20.5</v>
      </c>
      <c r="F56" s="89">
        <f>ROUND(D56*E56,2)</f>
        <v>20.5</v>
      </c>
    </row>
    <row r="57" spans="1:6" s="63" customFormat="1" ht="17.100000000000001" customHeight="1">
      <c r="A57" s="697" t="s">
        <v>82</v>
      </c>
      <c r="B57" s="698"/>
      <c r="C57" s="698"/>
      <c r="D57" s="698"/>
      <c r="E57" s="698"/>
      <c r="F57" s="84">
        <f>SUM(F54:F56)</f>
        <v>203.65</v>
      </c>
    </row>
    <row r="58" spans="1:6" s="63" customFormat="1" ht="17.100000000000001" customHeight="1">
      <c r="A58" s="699" t="s">
        <v>83</v>
      </c>
      <c r="B58" s="700"/>
      <c r="C58" s="700"/>
      <c r="D58" s="700"/>
      <c r="E58" s="700"/>
      <c r="F58" s="84">
        <f>SUM(F52+F57)</f>
        <v>212.45</v>
      </c>
    </row>
    <row r="59" spans="1:6" s="63" customFormat="1" ht="17.100000000000001" customHeight="1">
      <c r="A59" s="699" t="s">
        <v>84</v>
      </c>
      <c r="B59" s="700"/>
      <c r="C59" s="700"/>
      <c r="D59" s="700"/>
      <c r="E59" s="700"/>
      <c r="F59" s="84">
        <f>F58</f>
        <v>212.45</v>
      </c>
    </row>
    <row r="60" spans="1:6" ht="15.75">
      <c r="A60" s="22" t="s">
        <v>2</v>
      </c>
      <c r="B60" s="22" t="s">
        <v>62</v>
      </c>
      <c r="C60" s="22" t="s">
        <v>4</v>
      </c>
      <c r="D60" s="22" t="s">
        <v>112</v>
      </c>
      <c r="E60" s="22" t="s">
        <v>64</v>
      </c>
      <c r="F60" s="22" t="s">
        <v>65</v>
      </c>
    </row>
    <row r="61" spans="1:6" ht="15.75">
      <c r="A61" s="52" t="s">
        <v>47</v>
      </c>
      <c r="B61" s="557" t="s">
        <v>224</v>
      </c>
      <c r="C61" s="557"/>
      <c r="D61" s="557"/>
      <c r="E61" s="557"/>
      <c r="F61" s="557"/>
    </row>
    <row r="62" spans="1:6" ht="15.75">
      <c r="A62" s="53"/>
      <c r="B62" s="696" t="s">
        <v>66</v>
      </c>
      <c r="C62" s="696"/>
      <c r="D62" s="696"/>
      <c r="E62" s="696"/>
      <c r="F62" s="696"/>
    </row>
    <row r="63" spans="1:6" ht="15.75">
      <c r="A63" s="25" t="s">
        <v>218</v>
      </c>
      <c r="B63" s="38" t="s">
        <v>219</v>
      </c>
      <c r="C63" s="39" t="s">
        <v>69</v>
      </c>
      <c r="D63" s="40">
        <v>0.9</v>
      </c>
      <c r="E63" s="47">
        <v>9.82</v>
      </c>
      <c r="F63" s="36">
        <f>ROUND(D63*E63,2)</f>
        <v>8.84</v>
      </c>
    </row>
    <row r="64" spans="1:6" ht="15.75">
      <c r="A64" s="25" t="s">
        <v>220</v>
      </c>
      <c r="B64" s="38" t="s">
        <v>221</v>
      </c>
      <c r="C64" s="39" t="s">
        <v>69</v>
      </c>
      <c r="D64" s="40">
        <v>0.9</v>
      </c>
      <c r="E64" s="47">
        <v>7.77</v>
      </c>
      <c r="F64" s="36">
        <f>ROUND(D64*E64,2)</f>
        <v>6.99</v>
      </c>
    </row>
    <row r="65" spans="1:6" ht="15.75">
      <c r="A65" s="695" t="s">
        <v>72</v>
      </c>
      <c r="B65" s="695"/>
      <c r="C65" s="695"/>
      <c r="D65" s="695"/>
      <c r="E65" s="695"/>
      <c r="F65" s="54">
        <f>SUM(F63:F64)</f>
        <v>15.83</v>
      </c>
    </row>
    <row r="66" spans="1:6" ht="15.75">
      <c r="A66" s="634" t="s">
        <v>73</v>
      </c>
      <c r="B66" s="634"/>
      <c r="C66" s="634"/>
      <c r="D66" s="634"/>
      <c r="E66" s="634"/>
      <c r="F66" s="54">
        <f>SUM(F65:F65)</f>
        <v>15.83</v>
      </c>
    </row>
    <row r="67" spans="1:6" ht="15.75">
      <c r="A67" s="55"/>
      <c r="B67" s="696" t="s">
        <v>74</v>
      </c>
      <c r="C67" s="696"/>
      <c r="D67" s="696"/>
      <c r="E67" s="696"/>
      <c r="F67" s="696"/>
    </row>
    <row r="68" spans="1:6" ht="47.25">
      <c r="A68" s="50" t="s">
        <v>147</v>
      </c>
      <c r="B68" s="56" t="s">
        <v>225</v>
      </c>
      <c r="C68" s="39" t="s">
        <v>18</v>
      </c>
      <c r="D68" s="40">
        <v>1</v>
      </c>
      <c r="E68" s="36">
        <v>83.2</v>
      </c>
      <c r="F68" s="36">
        <f>ROUND(D68*E68,2)</f>
        <v>83.2</v>
      </c>
    </row>
    <row r="69" spans="1:6" ht="47.25">
      <c r="A69" s="50" t="s">
        <v>147</v>
      </c>
      <c r="B69" s="56" t="s">
        <v>226</v>
      </c>
      <c r="C69" s="39" t="s">
        <v>18</v>
      </c>
      <c r="D69" s="40">
        <v>2</v>
      </c>
      <c r="E69" s="36">
        <v>18.510000000000002</v>
      </c>
      <c r="F69" s="36">
        <f>ROUND(D69*E69,2)</f>
        <v>37.020000000000003</v>
      </c>
    </row>
    <row r="70" spans="1:6" ht="15.75">
      <c r="A70" s="41" t="s">
        <v>222</v>
      </c>
      <c r="B70" s="56" t="s">
        <v>223</v>
      </c>
      <c r="C70" s="39" t="s">
        <v>17</v>
      </c>
      <c r="D70" s="40">
        <v>2</v>
      </c>
      <c r="E70" s="36">
        <f>4.2/10</f>
        <v>0.42</v>
      </c>
      <c r="F70" s="36">
        <f>ROUND(D70*E70,2)</f>
        <v>0.84</v>
      </c>
    </row>
    <row r="71" spans="1:6" ht="15.75">
      <c r="A71" s="634" t="s">
        <v>82</v>
      </c>
      <c r="B71" s="634"/>
      <c r="C71" s="634"/>
      <c r="D71" s="634"/>
      <c r="E71" s="634"/>
      <c r="F71" s="54">
        <f>SUM(F68:F70)</f>
        <v>121.06</v>
      </c>
    </row>
    <row r="72" spans="1:6" ht="15.75">
      <c r="A72" s="695" t="s">
        <v>83</v>
      </c>
      <c r="B72" s="695"/>
      <c r="C72" s="695"/>
      <c r="D72" s="695"/>
      <c r="E72" s="695"/>
      <c r="F72" s="54">
        <f>SUM(F66+F71)</f>
        <v>136.88999999999999</v>
      </c>
    </row>
    <row r="73" spans="1:6" ht="15.75">
      <c r="A73" s="695" t="s">
        <v>84</v>
      </c>
      <c r="B73" s="695"/>
      <c r="C73" s="695"/>
      <c r="D73" s="695"/>
      <c r="E73" s="695"/>
      <c r="F73" s="54">
        <f>F72</f>
        <v>136.88999999999999</v>
      </c>
    </row>
    <row r="74" spans="1:6" s="57" customFormat="1" ht="15.75">
      <c r="A74" s="22" t="s">
        <v>2</v>
      </c>
      <c r="B74" s="22" t="s">
        <v>62</v>
      </c>
      <c r="C74" s="22" t="s">
        <v>4</v>
      </c>
      <c r="D74" s="22" t="s">
        <v>112</v>
      </c>
      <c r="E74" s="22" t="s">
        <v>64</v>
      </c>
      <c r="F74" s="22" t="s">
        <v>65</v>
      </c>
    </row>
    <row r="75" spans="1:6" s="57" customFormat="1" ht="15.75">
      <c r="A75" s="193"/>
      <c r="B75" s="618" t="s">
        <v>227</v>
      </c>
      <c r="C75" s="657"/>
      <c r="D75" s="657"/>
      <c r="E75" s="657"/>
      <c r="F75" s="658"/>
    </row>
    <row r="76" spans="1:6" s="57" customFormat="1" ht="15.75">
      <c r="A76" s="194"/>
      <c r="B76" s="618" t="s">
        <v>66</v>
      </c>
      <c r="C76" s="638"/>
      <c r="D76" s="638"/>
      <c r="E76" s="638"/>
      <c r="F76" s="639"/>
    </row>
    <row r="77" spans="1:6" s="57" customFormat="1" ht="15.75">
      <c r="A77" s="116" t="s">
        <v>218</v>
      </c>
      <c r="B77" s="195" t="s">
        <v>219</v>
      </c>
      <c r="C77" s="196" t="s">
        <v>69</v>
      </c>
      <c r="D77" s="197">
        <v>1</v>
      </c>
      <c r="E77" s="120">
        <v>10.7</v>
      </c>
      <c r="F77" s="198">
        <f>D77*E77</f>
        <v>10.7</v>
      </c>
    </row>
    <row r="78" spans="1:6" s="57" customFormat="1" ht="15.75">
      <c r="A78" s="116" t="s">
        <v>220</v>
      </c>
      <c r="B78" s="195" t="s">
        <v>221</v>
      </c>
      <c r="C78" s="196" t="s">
        <v>69</v>
      </c>
      <c r="D78" s="197">
        <v>1</v>
      </c>
      <c r="E78" s="120">
        <v>8.4700000000000006</v>
      </c>
      <c r="F78" s="198">
        <f>D78*E78</f>
        <v>8.4700000000000006</v>
      </c>
    </row>
    <row r="79" spans="1:6" s="57" customFormat="1" ht="15.75">
      <c r="A79" s="659" t="s">
        <v>72</v>
      </c>
      <c r="B79" s="659"/>
      <c r="C79" s="659"/>
      <c r="D79" s="659"/>
      <c r="E79" s="620"/>
      <c r="F79" s="199">
        <f>SUM(F77:F78)</f>
        <v>19.170000000000002</v>
      </c>
    </row>
    <row r="80" spans="1:6" s="57" customFormat="1" ht="15.75">
      <c r="A80" s="659" t="s">
        <v>73</v>
      </c>
      <c r="B80" s="659"/>
      <c r="C80" s="659"/>
      <c r="D80" s="659"/>
      <c r="E80" s="620"/>
      <c r="F80" s="199">
        <f>SUM(F79:F79)</f>
        <v>19.170000000000002</v>
      </c>
    </row>
    <row r="81" spans="1:6" s="57" customFormat="1" ht="15.75">
      <c r="A81" s="200"/>
      <c r="B81" s="618" t="s">
        <v>74</v>
      </c>
      <c r="C81" s="638"/>
      <c r="D81" s="638"/>
      <c r="E81" s="638"/>
      <c r="F81" s="639"/>
    </row>
    <row r="82" spans="1:6" s="57" customFormat="1" ht="31.5">
      <c r="A82" s="202" t="s">
        <v>329</v>
      </c>
      <c r="B82" s="195" t="s">
        <v>228</v>
      </c>
      <c r="C82" s="196" t="s">
        <v>18</v>
      </c>
      <c r="D82" s="197">
        <v>1</v>
      </c>
      <c r="E82" s="201">
        <v>81.400000000000006</v>
      </c>
      <c r="F82" s="198">
        <f>D82*E82</f>
        <v>81.400000000000006</v>
      </c>
    </row>
    <row r="83" spans="1:6" s="57" customFormat="1" ht="15.75">
      <c r="A83" s="659" t="s">
        <v>82</v>
      </c>
      <c r="B83" s="659"/>
      <c r="C83" s="659"/>
      <c r="D83" s="659"/>
      <c r="E83" s="620"/>
      <c r="F83" s="199">
        <f>F82</f>
        <v>81.400000000000006</v>
      </c>
    </row>
    <row r="84" spans="1:6" s="57" customFormat="1" ht="15.75">
      <c r="A84" s="660" t="s">
        <v>83</v>
      </c>
      <c r="B84" s="660"/>
      <c r="C84" s="660"/>
      <c r="D84" s="660"/>
      <c r="E84" s="609"/>
      <c r="F84" s="199">
        <f>SUM(F80+F83)</f>
        <v>100.57</v>
      </c>
    </row>
    <row r="85" spans="1:6" s="57" customFormat="1" ht="16.5" thickBot="1">
      <c r="A85" s="661" t="s">
        <v>84</v>
      </c>
      <c r="B85" s="661"/>
      <c r="C85" s="661"/>
      <c r="D85" s="661"/>
      <c r="E85" s="662"/>
      <c r="F85" s="199">
        <f>F84</f>
        <v>100.57</v>
      </c>
    </row>
    <row r="86" spans="1:6" s="57" customFormat="1" ht="15.75">
      <c r="A86" s="22" t="s">
        <v>2</v>
      </c>
      <c r="B86" s="22" t="s">
        <v>62</v>
      </c>
      <c r="C86" s="22" t="s">
        <v>4</v>
      </c>
      <c r="D86" s="22" t="s">
        <v>112</v>
      </c>
      <c r="E86" s="22" t="s">
        <v>64</v>
      </c>
      <c r="F86" s="22" t="s">
        <v>65</v>
      </c>
    </row>
    <row r="87" spans="1:6" s="57" customFormat="1" ht="15.75">
      <c r="A87" s="193"/>
      <c r="B87" s="618" t="s">
        <v>330</v>
      </c>
      <c r="C87" s="657"/>
      <c r="D87" s="657"/>
      <c r="E87" s="657"/>
      <c r="F87" s="658"/>
    </row>
    <row r="88" spans="1:6" s="57" customFormat="1" ht="15.75">
      <c r="A88" s="194"/>
      <c r="B88" s="618" t="s">
        <v>66</v>
      </c>
      <c r="C88" s="638"/>
      <c r="D88" s="638"/>
      <c r="E88" s="638"/>
      <c r="F88" s="639"/>
    </row>
    <row r="89" spans="1:6" s="57" customFormat="1" ht="15.75">
      <c r="A89" s="116" t="s">
        <v>218</v>
      </c>
      <c r="B89" s="195" t="s">
        <v>219</v>
      </c>
      <c r="C89" s="196" t="s">
        <v>69</v>
      </c>
      <c r="D89" s="197">
        <v>1</v>
      </c>
      <c r="E89" s="120">
        <v>10.7</v>
      </c>
      <c r="F89" s="198">
        <f>D89*E89</f>
        <v>10.7</v>
      </c>
    </row>
    <row r="90" spans="1:6" s="57" customFormat="1" ht="15.75">
      <c r="A90" s="116" t="s">
        <v>220</v>
      </c>
      <c r="B90" s="195" t="s">
        <v>221</v>
      </c>
      <c r="C90" s="196" t="s">
        <v>69</v>
      </c>
      <c r="D90" s="197">
        <v>1</v>
      </c>
      <c r="E90" s="120">
        <v>8.4700000000000006</v>
      </c>
      <c r="F90" s="198">
        <f>D90*E90</f>
        <v>8.4700000000000006</v>
      </c>
    </row>
    <row r="91" spans="1:6" s="57" customFormat="1" ht="15.75">
      <c r="A91" s="659" t="s">
        <v>72</v>
      </c>
      <c r="B91" s="659"/>
      <c r="C91" s="659"/>
      <c r="D91" s="659"/>
      <c r="E91" s="620"/>
      <c r="F91" s="199">
        <f>SUM(F89:F90)</f>
        <v>19.170000000000002</v>
      </c>
    </row>
    <row r="92" spans="1:6" s="57" customFormat="1" ht="15.75">
      <c r="A92" s="659" t="s">
        <v>73</v>
      </c>
      <c r="B92" s="659"/>
      <c r="C92" s="659"/>
      <c r="D92" s="659"/>
      <c r="E92" s="620"/>
      <c r="F92" s="199">
        <f>SUM(F91:F91)</f>
        <v>19.170000000000002</v>
      </c>
    </row>
    <row r="93" spans="1:6" s="57" customFormat="1" ht="15.75">
      <c r="A93" s="200"/>
      <c r="B93" s="618" t="s">
        <v>74</v>
      </c>
      <c r="C93" s="638"/>
      <c r="D93" s="638"/>
      <c r="E93" s="638"/>
      <c r="F93" s="639"/>
    </row>
    <row r="94" spans="1:6" s="57" customFormat="1" ht="31.5">
      <c r="A94" s="202">
        <v>13392</v>
      </c>
      <c r="B94" s="195" t="s">
        <v>331</v>
      </c>
      <c r="C94" s="196" t="s">
        <v>18</v>
      </c>
      <c r="D94" s="197">
        <v>1</v>
      </c>
      <c r="E94" s="201">
        <v>139.07</v>
      </c>
      <c r="F94" s="198">
        <f>D94*E94</f>
        <v>139.07</v>
      </c>
    </row>
    <row r="95" spans="1:6" s="57" customFormat="1" ht="15.75">
      <c r="A95" s="659" t="s">
        <v>82</v>
      </c>
      <c r="B95" s="659"/>
      <c r="C95" s="659"/>
      <c r="D95" s="659"/>
      <c r="E95" s="620"/>
      <c r="F95" s="199">
        <f>F94</f>
        <v>139.07</v>
      </c>
    </row>
    <row r="96" spans="1:6" s="57" customFormat="1" ht="15.75">
      <c r="A96" s="660" t="s">
        <v>83</v>
      </c>
      <c r="B96" s="660"/>
      <c r="C96" s="660"/>
      <c r="D96" s="660"/>
      <c r="E96" s="609"/>
      <c r="F96" s="199">
        <f>SUM(F92+F95)</f>
        <v>158.24</v>
      </c>
    </row>
    <row r="97" spans="1:7" s="57" customFormat="1" ht="16.5" thickBot="1">
      <c r="A97" s="661" t="s">
        <v>84</v>
      </c>
      <c r="B97" s="661"/>
      <c r="C97" s="661"/>
      <c r="D97" s="661"/>
      <c r="E97" s="662"/>
      <c r="F97" s="199">
        <f>F96</f>
        <v>158.24</v>
      </c>
    </row>
    <row r="98" spans="1:7" s="15" customFormat="1" ht="15.75">
      <c r="A98" s="22" t="s">
        <v>2</v>
      </c>
      <c r="B98" s="22" t="s">
        <v>62</v>
      </c>
      <c r="C98" s="22" t="s">
        <v>4</v>
      </c>
      <c r="D98" s="22" t="s">
        <v>63</v>
      </c>
      <c r="E98" s="22" t="s">
        <v>64</v>
      </c>
      <c r="F98" s="22" t="s">
        <v>65</v>
      </c>
    </row>
    <row r="99" spans="1:7" s="15" customFormat="1" ht="15.75" customHeight="1">
      <c r="A99" s="150"/>
      <c r="B99" s="640" t="s">
        <v>332</v>
      </c>
      <c r="C99" s="640"/>
      <c r="D99" s="640"/>
      <c r="E99" s="640"/>
      <c r="F99" s="640"/>
    </row>
    <row r="100" spans="1:7" s="15" customFormat="1" ht="15.75">
      <c r="A100" s="151"/>
      <c r="B100" s="630" t="s">
        <v>66</v>
      </c>
      <c r="C100" s="630"/>
      <c r="D100" s="630"/>
      <c r="E100" s="630"/>
      <c r="F100" s="630"/>
      <c r="G100" s="62"/>
    </row>
    <row r="101" spans="1:7" s="15" customFormat="1" ht="15.75">
      <c r="A101" s="116" t="s">
        <v>218</v>
      </c>
      <c r="B101" s="152" t="s">
        <v>219</v>
      </c>
      <c r="C101" s="153" t="s">
        <v>69</v>
      </c>
      <c r="D101" s="154">
        <v>0.2</v>
      </c>
      <c r="E101" s="120">
        <v>10.7</v>
      </c>
      <c r="F101" s="120">
        <f>E101*D101</f>
        <v>2.14</v>
      </c>
    </row>
    <row r="102" spans="1:7" s="15" customFormat="1" ht="15.75">
      <c r="A102" s="116" t="s">
        <v>220</v>
      </c>
      <c r="B102" s="152" t="s">
        <v>221</v>
      </c>
      <c r="C102" s="153" t="s">
        <v>69</v>
      </c>
      <c r="D102" s="154">
        <v>0.2</v>
      </c>
      <c r="E102" s="120">
        <v>8.4700000000000006</v>
      </c>
      <c r="F102" s="120">
        <f>E102*D102</f>
        <v>1.69</v>
      </c>
    </row>
    <row r="103" spans="1:7" s="15" customFormat="1" ht="15.75">
      <c r="A103" s="631" t="s">
        <v>72</v>
      </c>
      <c r="B103" s="631"/>
      <c r="C103" s="631"/>
      <c r="D103" s="631"/>
      <c r="E103" s="631"/>
      <c r="F103" s="155">
        <f>SUM(F101:F102)</f>
        <v>3.83</v>
      </c>
    </row>
    <row r="104" spans="1:7" s="15" customFormat="1" ht="15.75">
      <c r="A104" s="631" t="s">
        <v>73</v>
      </c>
      <c r="B104" s="631"/>
      <c r="C104" s="631"/>
      <c r="D104" s="631"/>
      <c r="E104" s="631"/>
      <c r="F104" s="155">
        <f>SUM(F103:F103)</f>
        <v>3.83</v>
      </c>
    </row>
    <row r="105" spans="1:7" s="15" customFormat="1" ht="15.75">
      <c r="A105" s="203"/>
      <c r="B105" s="630" t="s">
        <v>74</v>
      </c>
      <c r="C105" s="630"/>
      <c r="D105" s="630"/>
      <c r="E105" s="630"/>
      <c r="F105" s="630"/>
    </row>
    <row r="106" spans="1:7" s="15" customFormat="1" ht="15.75">
      <c r="A106" s="205">
        <v>2687</v>
      </c>
      <c r="B106" s="152" t="s">
        <v>333</v>
      </c>
      <c r="C106" s="153" t="s">
        <v>17</v>
      </c>
      <c r="D106" s="154">
        <v>1</v>
      </c>
      <c r="E106" s="120">
        <v>1</v>
      </c>
      <c r="F106" s="120">
        <f>E106*D106</f>
        <v>1</v>
      </c>
    </row>
    <row r="107" spans="1:7" s="15" customFormat="1" ht="15.75">
      <c r="A107" s="631" t="s">
        <v>82</v>
      </c>
      <c r="B107" s="631"/>
      <c r="C107" s="631"/>
      <c r="D107" s="631"/>
      <c r="E107" s="631"/>
      <c r="F107" s="155">
        <f>SUM(F106)</f>
        <v>1</v>
      </c>
    </row>
    <row r="108" spans="1:7" s="15" customFormat="1" ht="15.75">
      <c r="A108" s="635" t="s">
        <v>83</v>
      </c>
      <c r="B108" s="635"/>
      <c r="C108" s="635"/>
      <c r="D108" s="635"/>
      <c r="E108" s="635"/>
      <c r="F108" s="155">
        <f>SUM(F104+F107)</f>
        <v>4.83</v>
      </c>
    </row>
    <row r="109" spans="1:7" s="15" customFormat="1" ht="16.5" thickBot="1">
      <c r="A109" s="635" t="s">
        <v>84</v>
      </c>
      <c r="B109" s="635"/>
      <c r="C109" s="635"/>
      <c r="D109" s="635"/>
      <c r="E109" s="635"/>
      <c r="F109" s="155">
        <f>F108</f>
        <v>4.83</v>
      </c>
    </row>
    <row r="110" spans="1:7" ht="15.75">
      <c r="A110" s="58" t="s">
        <v>2</v>
      </c>
      <c r="B110" s="59" t="s">
        <v>62</v>
      </c>
      <c r="C110" s="59" t="s">
        <v>4</v>
      </c>
      <c r="D110" s="59" t="s">
        <v>63</v>
      </c>
      <c r="E110" s="59" t="s">
        <v>64</v>
      </c>
      <c r="F110" s="60" t="s">
        <v>65</v>
      </c>
    </row>
    <row r="111" spans="1:7" ht="15.75" customHeight="1">
      <c r="A111" s="206"/>
      <c r="B111" s="655" t="s">
        <v>335</v>
      </c>
      <c r="C111" s="655"/>
      <c r="D111" s="655"/>
      <c r="E111" s="655"/>
      <c r="F111" s="655"/>
    </row>
    <row r="112" spans="1:7" ht="15.75">
      <c r="A112" s="135"/>
      <c r="B112" s="632" t="s">
        <v>66</v>
      </c>
      <c r="C112" s="632"/>
      <c r="D112" s="632"/>
      <c r="E112" s="632"/>
      <c r="F112" s="632"/>
    </row>
    <row r="113" spans="1:6" ht="15.75">
      <c r="A113" s="116" t="s">
        <v>218</v>
      </c>
      <c r="B113" s="136" t="s">
        <v>219</v>
      </c>
      <c r="C113" s="137" t="s">
        <v>69</v>
      </c>
      <c r="D113" s="138">
        <v>0.9</v>
      </c>
      <c r="E113" s="120">
        <v>10.7</v>
      </c>
      <c r="F113" s="139">
        <f>ROUND(D113*E113,2)</f>
        <v>9.6300000000000008</v>
      </c>
    </row>
    <row r="114" spans="1:6" ht="15.75">
      <c r="A114" s="116" t="s">
        <v>220</v>
      </c>
      <c r="B114" s="136" t="s">
        <v>221</v>
      </c>
      <c r="C114" s="137" t="s">
        <v>69</v>
      </c>
      <c r="D114" s="138">
        <v>0.9</v>
      </c>
      <c r="E114" s="120">
        <v>8.4700000000000006</v>
      </c>
      <c r="F114" s="139">
        <f>ROUND(D114*E114,2)</f>
        <v>7.62</v>
      </c>
    </row>
    <row r="115" spans="1:6" ht="15.75">
      <c r="A115" s="633" t="s">
        <v>72</v>
      </c>
      <c r="B115" s="633"/>
      <c r="C115" s="633"/>
      <c r="D115" s="633"/>
      <c r="E115" s="633"/>
      <c r="F115" s="207">
        <f>SUM(F113:F114)</f>
        <v>17.25</v>
      </c>
    </row>
    <row r="116" spans="1:6" ht="15.75">
      <c r="A116" s="631" t="s">
        <v>73</v>
      </c>
      <c r="B116" s="631"/>
      <c r="C116" s="631"/>
      <c r="D116" s="631"/>
      <c r="E116" s="631"/>
      <c r="F116" s="207">
        <f>SUM(F115:F115)</f>
        <v>17.25</v>
      </c>
    </row>
    <row r="117" spans="1:6" ht="15.75">
      <c r="A117" s="203"/>
      <c r="B117" s="632" t="s">
        <v>74</v>
      </c>
      <c r="C117" s="632"/>
      <c r="D117" s="632"/>
      <c r="E117" s="632"/>
      <c r="F117" s="632"/>
    </row>
    <row r="118" spans="1:6" ht="15.75">
      <c r="A118" s="166" t="s">
        <v>336</v>
      </c>
      <c r="B118" s="208" t="s">
        <v>337</v>
      </c>
      <c r="C118" s="137" t="s">
        <v>18</v>
      </c>
      <c r="D118" s="138">
        <v>1</v>
      </c>
      <c r="E118" s="139">
        <v>110.44</v>
      </c>
      <c r="F118" s="139">
        <f>ROUND(D118*E118,2)</f>
        <v>110.44</v>
      </c>
    </row>
    <row r="119" spans="1:6" ht="15.75">
      <c r="A119" s="166" t="s">
        <v>336</v>
      </c>
      <c r="B119" s="208" t="s">
        <v>338</v>
      </c>
      <c r="C119" s="137" t="s">
        <v>18</v>
      </c>
      <c r="D119" s="138">
        <v>1</v>
      </c>
      <c r="E119" s="139">
        <v>8.26</v>
      </c>
      <c r="F119" s="139">
        <f>ROUND(D119*E119,2)</f>
        <v>8.26</v>
      </c>
    </row>
    <row r="120" spans="1:6" ht="15.75">
      <c r="A120" s="122" t="s">
        <v>339</v>
      </c>
      <c r="B120" s="208" t="s">
        <v>340</v>
      </c>
      <c r="C120" s="137" t="s">
        <v>18</v>
      </c>
      <c r="D120" s="138">
        <v>1</v>
      </c>
      <c r="E120" s="139">
        <v>2.06</v>
      </c>
      <c r="F120" s="139">
        <f>ROUND(D120*E120,2)</f>
        <v>2.06</v>
      </c>
    </row>
    <row r="121" spans="1:6" ht="15.75">
      <c r="A121" s="631" t="s">
        <v>82</v>
      </c>
      <c r="B121" s="631"/>
      <c r="C121" s="631"/>
      <c r="D121" s="631"/>
      <c r="E121" s="631"/>
      <c r="F121" s="207">
        <f>SUM(F118:F120)</f>
        <v>120.76</v>
      </c>
    </row>
    <row r="122" spans="1:6" ht="15.75">
      <c r="A122" s="633" t="s">
        <v>83</v>
      </c>
      <c r="B122" s="633"/>
      <c r="C122" s="633"/>
      <c r="D122" s="633"/>
      <c r="E122" s="633"/>
      <c r="F122" s="207">
        <f>SUM(F116+F121)</f>
        <v>138.01</v>
      </c>
    </row>
    <row r="123" spans="1:6" ht="16.5" thickBot="1">
      <c r="A123" s="633" t="s">
        <v>84</v>
      </c>
      <c r="B123" s="633"/>
      <c r="C123" s="633"/>
      <c r="D123" s="633"/>
      <c r="E123" s="633"/>
      <c r="F123" s="207">
        <f>F122</f>
        <v>138.01</v>
      </c>
    </row>
    <row r="124" spans="1:6" ht="15.75">
      <c r="A124" s="58" t="s">
        <v>2</v>
      </c>
      <c r="B124" s="59" t="s">
        <v>62</v>
      </c>
      <c r="C124" s="59" t="s">
        <v>4</v>
      </c>
      <c r="D124" s="59" t="s">
        <v>112</v>
      </c>
      <c r="E124" s="59" t="s">
        <v>64</v>
      </c>
      <c r="F124" s="60" t="s">
        <v>65</v>
      </c>
    </row>
    <row r="125" spans="1:6" ht="15.75">
      <c r="A125" s="209"/>
      <c r="B125" s="701" t="s">
        <v>341</v>
      </c>
      <c r="C125" s="701"/>
      <c r="D125" s="701"/>
      <c r="E125" s="701"/>
      <c r="F125" s="702"/>
    </row>
    <row r="126" spans="1:6" ht="15.75">
      <c r="A126" s="185"/>
      <c r="B126" s="636" t="s">
        <v>66</v>
      </c>
      <c r="C126" s="636"/>
      <c r="D126" s="636"/>
      <c r="E126" s="636"/>
      <c r="F126" s="637"/>
    </row>
    <row r="127" spans="1:6" ht="15.75">
      <c r="A127" s="116" t="s">
        <v>218</v>
      </c>
      <c r="B127" s="187" t="s">
        <v>219</v>
      </c>
      <c r="C127" s="130" t="s">
        <v>69</v>
      </c>
      <c r="D127" s="131">
        <v>0.5</v>
      </c>
      <c r="E127" s="120">
        <v>10.7</v>
      </c>
      <c r="F127" s="133">
        <f>ROUND(D127*E127,2)</f>
        <v>5.35</v>
      </c>
    </row>
    <row r="128" spans="1:6" ht="15.75">
      <c r="A128" s="116" t="s">
        <v>220</v>
      </c>
      <c r="B128" s="187" t="s">
        <v>221</v>
      </c>
      <c r="C128" s="130" t="s">
        <v>69</v>
      </c>
      <c r="D128" s="131">
        <v>0.5</v>
      </c>
      <c r="E128" s="120">
        <v>8.4700000000000006</v>
      </c>
      <c r="F128" s="133">
        <f>ROUND(D128*E128,2)</f>
        <v>4.24</v>
      </c>
    </row>
    <row r="129" spans="1:6" ht="15.75">
      <c r="A129" s="653" t="s">
        <v>72</v>
      </c>
      <c r="B129" s="654"/>
      <c r="C129" s="654"/>
      <c r="D129" s="654"/>
      <c r="E129" s="654"/>
      <c r="F129" s="210">
        <f>SUM(F127:F128)</f>
        <v>9.59</v>
      </c>
    </row>
    <row r="130" spans="1:6" ht="15.75">
      <c r="A130" s="620" t="s">
        <v>73</v>
      </c>
      <c r="B130" s="614"/>
      <c r="C130" s="614"/>
      <c r="D130" s="614"/>
      <c r="E130" s="614"/>
      <c r="F130" s="210">
        <f>SUM(F129:F129)</f>
        <v>9.59</v>
      </c>
    </row>
    <row r="131" spans="1:6" ht="15.75">
      <c r="A131" s="204"/>
      <c r="B131" s="636" t="s">
        <v>74</v>
      </c>
      <c r="C131" s="636"/>
      <c r="D131" s="636"/>
      <c r="E131" s="636"/>
      <c r="F131" s="637"/>
    </row>
    <row r="132" spans="1:6" ht="15.75">
      <c r="A132" s="211">
        <v>3803</v>
      </c>
      <c r="B132" s="212" t="s">
        <v>342</v>
      </c>
      <c r="C132" s="130" t="s">
        <v>18</v>
      </c>
      <c r="D132" s="131">
        <v>1</v>
      </c>
      <c r="E132" s="132">
        <v>23.18</v>
      </c>
      <c r="F132" s="133">
        <f>ROUND(D132*E132,2)</f>
        <v>23.18</v>
      </c>
    </row>
    <row r="133" spans="1:6" ht="15.75" customHeight="1">
      <c r="A133" s="211">
        <v>12201</v>
      </c>
      <c r="B133" s="212" t="s">
        <v>343</v>
      </c>
      <c r="C133" s="130" t="s">
        <v>18</v>
      </c>
      <c r="D133" s="131">
        <v>1</v>
      </c>
      <c r="E133" s="132">
        <v>0.8</v>
      </c>
      <c r="F133" s="133">
        <f>ROUND(D133*E133,2)</f>
        <v>0.8</v>
      </c>
    </row>
    <row r="134" spans="1:6" ht="15.75">
      <c r="A134" s="620" t="s">
        <v>82</v>
      </c>
      <c r="B134" s="614"/>
      <c r="C134" s="614"/>
      <c r="D134" s="614"/>
      <c r="E134" s="614"/>
      <c r="F134" s="210">
        <f>SUM(F132:F133)</f>
        <v>23.98</v>
      </c>
    </row>
    <row r="135" spans="1:6" ht="15.75">
      <c r="A135" s="653" t="s">
        <v>83</v>
      </c>
      <c r="B135" s="654"/>
      <c r="C135" s="654"/>
      <c r="D135" s="654"/>
      <c r="E135" s="654"/>
      <c r="F135" s="210">
        <f>SUM(F130+F134)</f>
        <v>33.57</v>
      </c>
    </row>
    <row r="136" spans="1:6" ht="16.5" thickBot="1">
      <c r="A136" s="653" t="s">
        <v>84</v>
      </c>
      <c r="B136" s="654"/>
      <c r="C136" s="654"/>
      <c r="D136" s="654"/>
      <c r="E136" s="654"/>
      <c r="F136" s="210">
        <f>F135</f>
        <v>33.57</v>
      </c>
    </row>
    <row r="137" spans="1:6" ht="15.75">
      <c r="A137" s="58" t="s">
        <v>2</v>
      </c>
      <c r="B137" s="59" t="s">
        <v>62</v>
      </c>
      <c r="C137" s="59" t="s">
        <v>4</v>
      </c>
      <c r="D137" s="59" t="s">
        <v>112</v>
      </c>
      <c r="E137" s="59" t="s">
        <v>64</v>
      </c>
      <c r="F137" s="60" t="s">
        <v>65</v>
      </c>
    </row>
    <row r="138" spans="1:6" ht="15.75">
      <c r="A138" s="209"/>
      <c r="B138" s="701" t="s">
        <v>334</v>
      </c>
      <c r="C138" s="701"/>
      <c r="D138" s="701"/>
      <c r="E138" s="701"/>
      <c r="F138" s="702"/>
    </row>
    <row r="139" spans="1:6" ht="15.75">
      <c r="A139" s="185"/>
      <c r="B139" s="636" t="s">
        <v>66</v>
      </c>
      <c r="C139" s="636"/>
      <c r="D139" s="636"/>
      <c r="E139" s="636"/>
      <c r="F139" s="637"/>
    </row>
    <row r="140" spans="1:6" ht="15.75">
      <c r="A140" s="116" t="s">
        <v>218</v>
      </c>
      <c r="B140" s="187" t="s">
        <v>219</v>
      </c>
      <c r="C140" s="130" t="s">
        <v>69</v>
      </c>
      <c r="D140" s="131">
        <v>0.9</v>
      </c>
      <c r="E140" s="120">
        <v>10.7</v>
      </c>
      <c r="F140" s="133">
        <f>ROUND(D140*E140,2)</f>
        <v>9.6300000000000008</v>
      </c>
    </row>
    <row r="141" spans="1:6" ht="15.75">
      <c r="A141" s="116" t="s">
        <v>220</v>
      </c>
      <c r="B141" s="187" t="s">
        <v>221</v>
      </c>
      <c r="C141" s="130" t="s">
        <v>69</v>
      </c>
      <c r="D141" s="131">
        <v>0.9</v>
      </c>
      <c r="E141" s="120">
        <v>8.4700000000000006</v>
      </c>
      <c r="F141" s="133">
        <f>ROUND(D141*E141,2)</f>
        <v>7.62</v>
      </c>
    </row>
    <row r="142" spans="1:6" ht="15.75">
      <c r="A142" s="653" t="s">
        <v>72</v>
      </c>
      <c r="B142" s="654"/>
      <c r="C142" s="654"/>
      <c r="D142" s="654"/>
      <c r="E142" s="654"/>
      <c r="F142" s="210">
        <f>SUM(F140:F141)</f>
        <v>17.25</v>
      </c>
    </row>
    <row r="143" spans="1:6" ht="15.75">
      <c r="A143" s="620" t="s">
        <v>73</v>
      </c>
      <c r="B143" s="614"/>
      <c r="C143" s="614"/>
      <c r="D143" s="614"/>
      <c r="E143" s="614"/>
      <c r="F143" s="210">
        <f>SUM(F142:F142)</f>
        <v>17.25</v>
      </c>
    </row>
    <row r="144" spans="1:6" ht="15.75">
      <c r="A144" s="204"/>
      <c r="B144" s="636" t="s">
        <v>74</v>
      </c>
      <c r="C144" s="636"/>
      <c r="D144" s="636"/>
      <c r="E144" s="636"/>
      <c r="F144" s="637"/>
    </row>
    <row r="145" spans="1:6" ht="15.75">
      <c r="A145" s="185" t="s">
        <v>344</v>
      </c>
      <c r="B145" s="212" t="s">
        <v>345</v>
      </c>
      <c r="C145" s="130" t="s">
        <v>18</v>
      </c>
      <c r="D145" s="131">
        <v>1</v>
      </c>
      <c r="E145" s="132">
        <v>90.16</v>
      </c>
      <c r="F145" s="133">
        <f>ROUND(D145*E145,2)</f>
        <v>90.16</v>
      </c>
    </row>
    <row r="146" spans="1:6" ht="15.75">
      <c r="A146" s="185" t="s">
        <v>346</v>
      </c>
      <c r="B146" s="212" t="s">
        <v>347</v>
      </c>
      <c r="C146" s="130" t="s">
        <v>18</v>
      </c>
      <c r="D146" s="131">
        <v>1</v>
      </c>
      <c r="E146" s="132">
        <v>3.42</v>
      </c>
      <c r="F146" s="133">
        <f>ROUND(D146*E146,2)</f>
        <v>3.42</v>
      </c>
    </row>
    <row r="147" spans="1:6" ht="31.5">
      <c r="A147" s="185" t="s">
        <v>348</v>
      </c>
      <c r="B147" s="212" t="s">
        <v>349</v>
      </c>
      <c r="C147" s="130" t="s">
        <v>18</v>
      </c>
      <c r="D147" s="131">
        <v>1</v>
      </c>
      <c r="E147" s="132">
        <v>9.58</v>
      </c>
      <c r="F147" s="133">
        <f>ROUND(D147*E147,2)</f>
        <v>9.58</v>
      </c>
    </row>
    <row r="148" spans="1:6" ht="15.75">
      <c r="A148" s="620" t="s">
        <v>82</v>
      </c>
      <c r="B148" s="614"/>
      <c r="C148" s="614"/>
      <c r="D148" s="614"/>
      <c r="E148" s="614"/>
      <c r="F148" s="210">
        <f>SUM(F145:F147)</f>
        <v>103.16</v>
      </c>
    </row>
    <row r="149" spans="1:6" ht="15.75">
      <c r="A149" s="653" t="s">
        <v>83</v>
      </c>
      <c r="B149" s="654"/>
      <c r="C149" s="654"/>
      <c r="D149" s="654"/>
      <c r="E149" s="654"/>
      <c r="F149" s="210">
        <f>SUM(F143+F148)</f>
        <v>120.41</v>
      </c>
    </row>
    <row r="150" spans="1:6" ht="16.5" thickBot="1">
      <c r="A150" s="653" t="s">
        <v>84</v>
      </c>
      <c r="B150" s="654"/>
      <c r="C150" s="654"/>
      <c r="D150" s="654"/>
      <c r="E150" s="654"/>
      <c r="F150" s="210">
        <f>F149</f>
        <v>120.41</v>
      </c>
    </row>
    <row r="151" spans="1:6" ht="15.75">
      <c r="A151" s="58" t="s">
        <v>2</v>
      </c>
      <c r="B151" s="59" t="s">
        <v>62</v>
      </c>
      <c r="C151" s="59" t="s">
        <v>4</v>
      </c>
      <c r="D151" s="59" t="s">
        <v>112</v>
      </c>
      <c r="E151" s="59" t="s">
        <v>64</v>
      </c>
      <c r="F151" s="60" t="s">
        <v>65</v>
      </c>
    </row>
    <row r="152" spans="1:6" ht="15.75">
      <c r="A152" s="209"/>
      <c r="B152" s="701" t="s">
        <v>350</v>
      </c>
      <c r="C152" s="701"/>
      <c r="D152" s="701"/>
      <c r="E152" s="701"/>
      <c r="F152" s="702"/>
    </row>
    <row r="153" spans="1:6" ht="15.75">
      <c r="A153" s="185"/>
      <c r="B153" s="636" t="s">
        <v>66</v>
      </c>
      <c r="C153" s="636"/>
      <c r="D153" s="636"/>
      <c r="E153" s="636"/>
      <c r="F153" s="637"/>
    </row>
    <row r="154" spans="1:6" ht="15.75">
      <c r="A154" s="116" t="s">
        <v>218</v>
      </c>
      <c r="B154" s="187" t="s">
        <v>219</v>
      </c>
      <c r="C154" s="130" t="s">
        <v>69</v>
      </c>
      <c r="D154" s="131">
        <v>0.7</v>
      </c>
      <c r="E154" s="120">
        <v>10.7</v>
      </c>
      <c r="F154" s="133">
        <f>ROUND(D154*E154,2)</f>
        <v>7.49</v>
      </c>
    </row>
    <row r="155" spans="1:6" ht="15.75">
      <c r="A155" s="116" t="s">
        <v>220</v>
      </c>
      <c r="B155" s="187" t="s">
        <v>221</v>
      </c>
      <c r="C155" s="130" t="s">
        <v>69</v>
      </c>
      <c r="D155" s="131">
        <v>0.9</v>
      </c>
      <c r="E155" s="120">
        <v>8.4700000000000006</v>
      </c>
      <c r="F155" s="133">
        <f>ROUND(D155*E155,2)</f>
        <v>7.62</v>
      </c>
    </row>
    <row r="156" spans="1:6" ht="15.75">
      <c r="A156" s="653" t="s">
        <v>72</v>
      </c>
      <c r="B156" s="654"/>
      <c r="C156" s="654"/>
      <c r="D156" s="654"/>
      <c r="E156" s="654"/>
      <c r="F156" s="210">
        <f>SUM(F154:F155)</f>
        <v>15.11</v>
      </c>
    </row>
    <row r="157" spans="1:6" ht="15.75">
      <c r="A157" s="620" t="s">
        <v>73</v>
      </c>
      <c r="B157" s="614"/>
      <c r="C157" s="614"/>
      <c r="D157" s="614"/>
      <c r="E157" s="614"/>
      <c r="F157" s="210">
        <f>SUM(F156:F156)</f>
        <v>15.11</v>
      </c>
    </row>
    <row r="158" spans="1:6" ht="15.75">
      <c r="A158" s="204"/>
      <c r="B158" s="636" t="s">
        <v>74</v>
      </c>
      <c r="C158" s="636"/>
      <c r="D158" s="636"/>
      <c r="E158" s="636"/>
      <c r="F158" s="637"/>
    </row>
    <row r="159" spans="1:6" ht="31.5">
      <c r="A159" s="189" t="s">
        <v>271</v>
      </c>
      <c r="B159" s="212" t="s">
        <v>351</v>
      </c>
      <c r="C159" s="130" t="s">
        <v>18</v>
      </c>
      <c r="D159" s="131">
        <v>1</v>
      </c>
      <c r="E159" s="132">
        <v>78.25</v>
      </c>
      <c r="F159" s="133">
        <f>ROUND(D159*E159,2)</f>
        <v>78.25</v>
      </c>
    </row>
    <row r="160" spans="1:6" ht="15.75">
      <c r="A160" s="620" t="s">
        <v>82</v>
      </c>
      <c r="B160" s="614"/>
      <c r="C160" s="614"/>
      <c r="D160" s="614"/>
      <c r="E160" s="614"/>
      <c r="F160" s="210">
        <f>SUM(F159:F159)</f>
        <v>78.25</v>
      </c>
    </row>
    <row r="161" spans="1:6" ht="15.75">
      <c r="A161" s="653" t="s">
        <v>83</v>
      </c>
      <c r="B161" s="654"/>
      <c r="C161" s="654"/>
      <c r="D161" s="654"/>
      <c r="E161" s="654"/>
      <c r="F161" s="210">
        <f>SUM(F157+F160)</f>
        <v>93.36</v>
      </c>
    </row>
    <row r="162" spans="1:6" ht="15.75">
      <c r="A162" s="653" t="s">
        <v>84</v>
      </c>
      <c r="B162" s="654"/>
      <c r="C162" s="654"/>
      <c r="D162" s="654"/>
      <c r="E162" s="654"/>
      <c r="F162" s="210">
        <f>F161</f>
        <v>93.36</v>
      </c>
    </row>
    <row r="163" spans="1:6" ht="15.75">
      <c r="A163" s="656" t="s">
        <v>217</v>
      </c>
      <c r="B163" s="656"/>
      <c r="C163" s="656"/>
      <c r="D163" s="656"/>
      <c r="E163" s="656"/>
      <c r="F163" s="656"/>
    </row>
    <row r="164" spans="1:6" ht="15.75">
      <c r="A164" s="22" t="s">
        <v>2</v>
      </c>
      <c r="B164" s="22" t="s">
        <v>62</v>
      </c>
      <c r="C164" s="22" t="s">
        <v>4</v>
      </c>
      <c r="D164" s="22" t="s">
        <v>63</v>
      </c>
      <c r="E164" s="22" t="s">
        <v>64</v>
      </c>
      <c r="F164" s="22" t="s">
        <v>65</v>
      </c>
    </row>
    <row r="165" spans="1:6" ht="15.75">
      <c r="A165" s="114"/>
      <c r="B165" s="617" t="s">
        <v>353</v>
      </c>
      <c r="C165" s="617"/>
      <c r="D165" s="617"/>
      <c r="E165" s="617"/>
      <c r="F165" s="617"/>
    </row>
    <row r="166" spans="1:6" ht="15.75">
      <c r="A166" s="115"/>
      <c r="B166" s="629" t="s">
        <v>66</v>
      </c>
      <c r="C166" s="629"/>
      <c r="D166" s="629"/>
      <c r="E166" s="629"/>
      <c r="F166" s="629"/>
    </row>
    <row r="167" spans="1:6" ht="15.75">
      <c r="A167" s="116" t="s">
        <v>67</v>
      </c>
      <c r="B167" s="117" t="s">
        <v>68</v>
      </c>
      <c r="C167" s="118" t="s">
        <v>69</v>
      </c>
      <c r="D167" s="119">
        <v>0.09</v>
      </c>
      <c r="E167" s="120">
        <v>10.7</v>
      </c>
      <c r="F167" s="121">
        <f>E167*D167</f>
        <v>0.96</v>
      </c>
    </row>
    <row r="168" spans="1:6" ht="15.75">
      <c r="A168" s="116" t="s">
        <v>70</v>
      </c>
      <c r="B168" s="117" t="s">
        <v>71</v>
      </c>
      <c r="C168" s="118" t="s">
        <v>69</v>
      </c>
      <c r="D168" s="119">
        <v>0.09</v>
      </c>
      <c r="E168" s="120">
        <v>8.4700000000000006</v>
      </c>
      <c r="F168" s="121">
        <f>E168*D168</f>
        <v>0.76</v>
      </c>
    </row>
    <row r="169" spans="1:6" ht="15.75">
      <c r="A169" s="631" t="s">
        <v>72</v>
      </c>
      <c r="B169" s="631"/>
      <c r="C169" s="631"/>
      <c r="D169" s="631"/>
      <c r="E169" s="631"/>
      <c r="F169" s="123">
        <f>SUM(F167:F168)</f>
        <v>1.72</v>
      </c>
    </row>
    <row r="170" spans="1:6" ht="15.75">
      <c r="A170" s="631" t="s">
        <v>73</v>
      </c>
      <c r="B170" s="631"/>
      <c r="C170" s="631"/>
      <c r="D170" s="631"/>
      <c r="E170" s="631"/>
      <c r="F170" s="123">
        <f>SUM(F169:F169)</f>
        <v>1.72</v>
      </c>
    </row>
    <row r="171" spans="1:6" ht="15.75">
      <c r="A171" s="203"/>
      <c r="B171" s="629" t="s">
        <v>74</v>
      </c>
      <c r="C171" s="629"/>
      <c r="D171" s="629"/>
      <c r="E171" s="629"/>
      <c r="F171" s="629"/>
    </row>
    <row r="172" spans="1:6" ht="31.5">
      <c r="A172" s="122" t="s">
        <v>355</v>
      </c>
      <c r="B172" s="117" t="s">
        <v>354</v>
      </c>
      <c r="C172" s="118" t="s">
        <v>18</v>
      </c>
      <c r="D172" s="119">
        <v>1</v>
      </c>
      <c r="E172" s="121">
        <v>1.1599999999999999</v>
      </c>
      <c r="F172" s="121">
        <f>E172*D172</f>
        <v>1.1599999999999999</v>
      </c>
    </row>
    <row r="173" spans="1:6" ht="15.75">
      <c r="A173" s="116" t="s">
        <v>75</v>
      </c>
      <c r="B173" s="117" t="s">
        <v>76</v>
      </c>
      <c r="C173" s="118" t="s">
        <v>17</v>
      </c>
      <c r="D173" s="119">
        <v>0.8</v>
      </c>
      <c r="E173" s="139">
        <v>0.2</v>
      </c>
      <c r="F173" s="121">
        <f>E173*D173</f>
        <v>0.16</v>
      </c>
    </row>
    <row r="174" spans="1:6" ht="15.75">
      <c r="A174" s="116" t="s">
        <v>77</v>
      </c>
      <c r="B174" s="117" t="s">
        <v>78</v>
      </c>
      <c r="C174" s="213" t="s">
        <v>14</v>
      </c>
      <c r="D174" s="119">
        <v>2.5000000000000001E-3</v>
      </c>
      <c r="E174" s="139">
        <v>31.96</v>
      </c>
      <c r="F174" s="121">
        <f>E174*D174</f>
        <v>0.08</v>
      </c>
    </row>
    <row r="175" spans="1:6" ht="15.75">
      <c r="A175" s="116" t="s">
        <v>79</v>
      </c>
      <c r="B175" s="117" t="s">
        <v>80</v>
      </c>
      <c r="C175" s="118" t="s">
        <v>81</v>
      </c>
      <c r="D175" s="119">
        <v>4.0000000000000001E-3</v>
      </c>
      <c r="E175" s="139">
        <v>37.85</v>
      </c>
      <c r="F175" s="121">
        <f>E175*D175</f>
        <v>0.15</v>
      </c>
    </row>
    <row r="176" spans="1:6" ht="15.75">
      <c r="A176" s="631" t="s">
        <v>82</v>
      </c>
      <c r="B176" s="631"/>
      <c r="C176" s="631"/>
      <c r="D176" s="631"/>
      <c r="E176" s="631"/>
      <c r="F176" s="123">
        <f>SUM(F172:F175)</f>
        <v>1.55</v>
      </c>
    </row>
    <row r="177" spans="1:6" ht="15.75">
      <c r="A177" s="622" t="s">
        <v>83</v>
      </c>
      <c r="B177" s="622"/>
      <c r="C177" s="622"/>
      <c r="D177" s="622"/>
      <c r="E177" s="622"/>
      <c r="F177" s="123">
        <f>SUM(F170+F176)</f>
        <v>3.27</v>
      </c>
    </row>
    <row r="178" spans="1:6" ht="15.75">
      <c r="A178" s="622" t="s">
        <v>84</v>
      </c>
      <c r="B178" s="622"/>
      <c r="C178" s="622"/>
      <c r="D178" s="622"/>
      <c r="E178" s="622"/>
      <c r="F178" s="123">
        <f>F177</f>
        <v>3.27</v>
      </c>
    </row>
    <row r="179" spans="1:6" ht="15.75">
      <c r="A179" s="22" t="s">
        <v>2</v>
      </c>
      <c r="B179" s="22" t="s">
        <v>62</v>
      </c>
      <c r="C179" s="22" t="s">
        <v>4</v>
      </c>
      <c r="D179" s="22" t="s">
        <v>63</v>
      </c>
      <c r="E179" s="22" t="s">
        <v>64</v>
      </c>
      <c r="F179" s="22" t="s">
        <v>65</v>
      </c>
    </row>
    <row r="180" spans="1:6" ht="15.75">
      <c r="A180" s="114"/>
      <c r="B180" s="617" t="s">
        <v>85</v>
      </c>
      <c r="C180" s="617"/>
      <c r="D180" s="617"/>
      <c r="E180" s="617"/>
      <c r="F180" s="617"/>
    </row>
    <row r="181" spans="1:6" ht="15.75">
      <c r="A181" s="115"/>
      <c r="B181" s="629" t="s">
        <v>66</v>
      </c>
      <c r="C181" s="629"/>
      <c r="D181" s="629"/>
      <c r="E181" s="629"/>
      <c r="F181" s="629"/>
    </row>
    <row r="182" spans="1:6" ht="15.75">
      <c r="A182" s="116" t="s">
        <v>67</v>
      </c>
      <c r="B182" s="117" t="s">
        <v>68</v>
      </c>
      <c r="C182" s="118" t="s">
        <v>69</v>
      </c>
      <c r="D182" s="119">
        <v>0.14000000000000001</v>
      </c>
      <c r="E182" s="120">
        <v>10.7</v>
      </c>
      <c r="F182" s="121">
        <f>E182*D182</f>
        <v>1.5</v>
      </c>
    </row>
    <row r="183" spans="1:6" ht="15.75">
      <c r="A183" s="116" t="s">
        <v>70</v>
      </c>
      <c r="B183" s="117" t="s">
        <v>71</v>
      </c>
      <c r="C183" s="118" t="s">
        <v>69</v>
      </c>
      <c r="D183" s="119">
        <v>0.14000000000000001</v>
      </c>
      <c r="E183" s="120">
        <v>8.4700000000000006</v>
      </c>
      <c r="F183" s="121">
        <f>E183*D183</f>
        <v>1.19</v>
      </c>
    </row>
    <row r="184" spans="1:6" ht="15.75">
      <c r="A184" s="631" t="s">
        <v>72</v>
      </c>
      <c r="B184" s="631"/>
      <c r="C184" s="631"/>
      <c r="D184" s="631"/>
      <c r="E184" s="631"/>
      <c r="F184" s="123">
        <f>SUM(F182:F183)</f>
        <v>2.69</v>
      </c>
    </row>
    <row r="185" spans="1:6" ht="15.75">
      <c r="A185" s="631" t="s">
        <v>73</v>
      </c>
      <c r="B185" s="631"/>
      <c r="C185" s="631"/>
      <c r="D185" s="631"/>
      <c r="E185" s="631"/>
      <c r="F185" s="123">
        <f>SUM(F184:F184)</f>
        <v>2.69</v>
      </c>
    </row>
    <row r="186" spans="1:6" ht="15.75">
      <c r="A186" s="203"/>
      <c r="B186" s="629" t="s">
        <v>74</v>
      </c>
      <c r="C186" s="629"/>
      <c r="D186" s="629"/>
      <c r="E186" s="629"/>
      <c r="F186" s="629"/>
    </row>
    <row r="187" spans="1:6" ht="31.5">
      <c r="A187" s="116" t="s">
        <v>86</v>
      </c>
      <c r="B187" s="117" t="s">
        <v>87</v>
      </c>
      <c r="C187" s="118" t="s">
        <v>18</v>
      </c>
      <c r="D187" s="119">
        <v>1</v>
      </c>
      <c r="E187" s="121">
        <v>2.48</v>
      </c>
      <c r="F187" s="121">
        <f>E187*D187</f>
        <v>2.48</v>
      </c>
    </row>
    <row r="188" spans="1:6" ht="15.75">
      <c r="A188" s="116" t="s">
        <v>75</v>
      </c>
      <c r="B188" s="117" t="s">
        <v>76</v>
      </c>
      <c r="C188" s="118" t="s">
        <v>17</v>
      </c>
      <c r="D188" s="119">
        <v>1.25</v>
      </c>
      <c r="E188" s="139">
        <v>0.2</v>
      </c>
      <c r="F188" s="121">
        <f>E188*D188</f>
        <v>0.25</v>
      </c>
    </row>
    <row r="189" spans="1:6" ht="15.75">
      <c r="A189" s="116" t="s">
        <v>77</v>
      </c>
      <c r="B189" s="117" t="s">
        <v>78</v>
      </c>
      <c r="C189" s="213" t="s">
        <v>14</v>
      </c>
      <c r="D189" s="119">
        <v>4.4000000000000003E-3</v>
      </c>
      <c r="E189" s="139">
        <v>31.96</v>
      </c>
      <c r="F189" s="121">
        <f>E189*D189</f>
        <v>0.14000000000000001</v>
      </c>
    </row>
    <row r="190" spans="1:6" ht="15.75">
      <c r="A190" s="116" t="s">
        <v>79</v>
      </c>
      <c r="B190" s="117" t="s">
        <v>80</v>
      </c>
      <c r="C190" s="118" t="s">
        <v>81</v>
      </c>
      <c r="D190" s="119">
        <v>7.0000000000000001E-3</v>
      </c>
      <c r="E190" s="139">
        <v>37.85</v>
      </c>
      <c r="F190" s="121">
        <f>E190*D190</f>
        <v>0.26</v>
      </c>
    </row>
    <row r="191" spans="1:6" ht="15.75">
      <c r="A191" s="631" t="s">
        <v>82</v>
      </c>
      <c r="B191" s="631"/>
      <c r="C191" s="631"/>
      <c r="D191" s="631"/>
      <c r="E191" s="631"/>
      <c r="F191" s="123">
        <f>SUM(F187:F190)</f>
        <v>3.13</v>
      </c>
    </row>
    <row r="192" spans="1:6" ht="15.75">
      <c r="A192" s="622" t="s">
        <v>83</v>
      </c>
      <c r="B192" s="622"/>
      <c r="C192" s="622"/>
      <c r="D192" s="622"/>
      <c r="E192" s="622"/>
      <c r="F192" s="123">
        <f>SUM(F185+F191)</f>
        <v>5.82</v>
      </c>
    </row>
    <row r="193" spans="1:6" ht="15.75">
      <c r="A193" s="622" t="s">
        <v>84</v>
      </c>
      <c r="B193" s="622"/>
      <c r="C193" s="622"/>
      <c r="D193" s="622"/>
      <c r="E193" s="622"/>
      <c r="F193" s="123">
        <f>F192</f>
        <v>5.82</v>
      </c>
    </row>
    <row r="194" spans="1:6" ht="15.75">
      <c r="A194" s="22" t="s">
        <v>2</v>
      </c>
      <c r="B194" s="22" t="s">
        <v>62</v>
      </c>
      <c r="C194" s="22" t="s">
        <v>4</v>
      </c>
      <c r="D194" s="22" t="s">
        <v>63</v>
      </c>
      <c r="E194" s="22" t="s">
        <v>64</v>
      </c>
      <c r="F194" s="22" t="s">
        <v>65</v>
      </c>
    </row>
    <row r="195" spans="1:6" ht="15.75" customHeight="1">
      <c r="A195" s="114"/>
      <c r="B195" s="617" t="s">
        <v>356</v>
      </c>
      <c r="C195" s="617"/>
      <c r="D195" s="617"/>
      <c r="E195" s="617"/>
      <c r="F195" s="617"/>
    </row>
    <row r="196" spans="1:6" ht="15.75">
      <c r="A196" s="115"/>
      <c r="B196" s="629" t="s">
        <v>66</v>
      </c>
      <c r="C196" s="629"/>
      <c r="D196" s="629"/>
      <c r="E196" s="629"/>
      <c r="F196" s="629"/>
    </row>
    <row r="197" spans="1:6" ht="15.75">
      <c r="A197" s="116" t="s">
        <v>67</v>
      </c>
      <c r="B197" s="117" t="s">
        <v>68</v>
      </c>
      <c r="C197" s="118" t="s">
        <v>69</v>
      </c>
      <c r="D197" s="119">
        <v>0.14000000000000001</v>
      </c>
      <c r="E197" s="120">
        <v>10.7</v>
      </c>
      <c r="F197" s="121">
        <f>E197*D197</f>
        <v>1.5</v>
      </c>
    </row>
    <row r="198" spans="1:6" ht="15.75">
      <c r="A198" s="116" t="s">
        <v>70</v>
      </c>
      <c r="B198" s="117" t="s">
        <v>71</v>
      </c>
      <c r="C198" s="118" t="s">
        <v>69</v>
      </c>
      <c r="D198" s="119">
        <v>0.14000000000000001</v>
      </c>
      <c r="E198" s="120">
        <v>8.4700000000000006</v>
      </c>
      <c r="F198" s="121">
        <f>E198*D198</f>
        <v>1.19</v>
      </c>
    </row>
    <row r="199" spans="1:6" ht="15.75">
      <c r="A199" s="631" t="s">
        <v>72</v>
      </c>
      <c r="B199" s="631"/>
      <c r="C199" s="631"/>
      <c r="D199" s="631"/>
      <c r="E199" s="631"/>
      <c r="F199" s="123">
        <f>SUM(F197:F198)</f>
        <v>2.69</v>
      </c>
    </row>
    <row r="200" spans="1:6" ht="15.75">
      <c r="A200" s="631" t="s">
        <v>73</v>
      </c>
      <c r="B200" s="631"/>
      <c r="C200" s="631"/>
      <c r="D200" s="631"/>
      <c r="E200" s="631"/>
      <c r="F200" s="123">
        <f>SUM(F199:F199)</f>
        <v>2.69</v>
      </c>
    </row>
    <row r="201" spans="1:6" ht="15.75">
      <c r="A201" s="203"/>
      <c r="B201" s="629" t="s">
        <v>74</v>
      </c>
      <c r="C201" s="629"/>
      <c r="D201" s="629"/>
      <c r="E201" s="629"/>
      <c r="F201" s="629"/>
    </row>
    <row r="202" spans="1:6" ht="31.5">
      <c r="A202" s="122" t="s">
        <v>358</v>
      </c>
      <c r="B202" s="117" t="s">
        <v>357</v>
      </c>
      <c r="C202" s="118" t="s">
        <v>18</v>
      </c>
      <c r="D202" s="119">
        <v>1</v>
      </c>
      <c r="E202" s="121">
        <v>7.98</v>
      </c>
      <c r="F202" s="121">
        <f>E202*D202</f>
        <v>7.98</v>
      </c>
    </row>
    <row r="203" spans="1:6" ht="15.75">
      <c r="A203" s="116" t="s">
        <v>75</v>
      </c>
      <c r="B203" s="117" t="s">
        <v>76</v>
      </c>
      <c r="C203" s="118" t="s">
        <v>17</v>
      </c>
      <c r="D203" s="119">
        <v>1.25</v>
      </c>
      <c r="E203" s="139">
        <v>0.2</v>
      </c>
      <c r="F203" s="121">
        <f>E203*D203</f>
        <v>0.25</v>
      </c>
    </row>
    <row r="204" spans="1:6" ht="15.75">
      <c r="A204" s="116" t="s">
        <v>77</v>
      </c>
      <c r="B204" s="117" t="s">
        <v>78</v>
      </c>
      <c r="C204" s="213" t="s">
        <v>14</v>
      </c>
      <c r="D204" s="119">
        <v>4.4000000000000003E-3</v>
      </c>
      <c r="E204" s="139">
        <v>31.96</v>
      </c>
      <c r="F204" s="121">
        <f>E204*D204</f>
        <v>0.14000000000000001</v>
      </c>
    </row>
    <row r="205" spans="1:6" ht="15.75">
      <c r="A205" s="116" t="s">
        <v>79</v>
      </c>
      <c r="B205" s="117" t="s">
        <v>80</v>
      </c>
      <c r="C205" s="118" t="s">
        <v>81</v>
      </c>
      <c r="D205" s="119">
        <v>7.0000000000000001E-3</v>
      </c>
      <c r="E205" s="139">
        <v>37.85</v>
      </c>
      <c r="F205" s="121">
        <f>E205*D205</f>
        <v>0.26</v>
      </c>
    </row>
    <row r="206" spans="1:6" ht="15.75">
      <c r="A206" s="631" t="s">
        <v>82</v>
      </c>
      <c r="B206" s="631"/>
      <c r="C206" s="631"/>
      <c r="D206" s="631"/>
      <c r="E206" s="631"/>
      <c r="F206" s="123">
        <f>SUM(F202:F205)</f>
        <v>8.6300000000000008</v>
      </c>
    </row>
    <row r="207" spans="1:6" ht="15.75">
      <c r="A207" s="622" t="s">
        <v>83</v>
      </c>
      <c r="B207" s="622"/>
      <c r="C207" s="622"/>
      <c r="D207" s="622"/>
      <c r="E207" s="622"/>
      <c r="F207" s="123">
        <f>SUM(F200+F206)</f>
        <v>11.32</v>
      </c>
    </row>
    <row r="208" spans="1:6" ht="15.75">
      <c r="A208" s="622" t="s">
        <v>84</v>
      </c>
      <c r="B208" s="622"/>
      <c r="C208" s="622"/>
      <c r="D208" s="622"/>
      <c r="E208" s="622"/>
      <c r="F208" s="123">
        <f>F207</f>
        <v>11.32</v>
      </c>
    </row>
    <row r="209" spans="1:6" ht="15.75">
      <c r="A209" s="22" t="s">
        <v>2</v>
      </c>
      <c r="B209" s="22" t="s">
        <v>62</v>
      </c>
      <c r="C209" s="22" t="s">
        <v>4</v>
      </c>
      <c r="D209" s="22" t="s">
        <v>63</v>
      </c>
      <c r="E209" s="22" t="s">
        <v>64</v>
      </c>
      <c r="F209" s="22" t="s">
        <v>65</v>
      </c>
    </row>
    <row r="210" spans="1:6" ht="15.75">
      <c r="A210" s="134"/>
      <c r="B210" s="666" t="s">
        <v>369</v>
      </c>
      <c r="C210" s="666"/>
      <c r="D210" s="666"/>
      <c r="E210" s="666"/>
      <c r="F210" s="666"/>
    </row>
    <row r="211" spans="1:6" ht="15.75">
      <c r="A211" s="135"/>
      <c r="B211" s="632" t="s">
        <v>66</v>
      </c>
      <c r="C211" s="632"/>
      <c r="D211" s="632"/>
      <c r="E211" s="632"/>
      <c r="F211" s="632"/>
    </row>
    <row r="212" spans="1:6" ht="15.75">
      <c r="A212" s="116" t="s">
        <v>67</v>
      </c>
      <c r="B212" s="136" t="s">
        <v>68</v>
      </c>
      <c r="C212" s="137" t="s">
        <v>69</v>
      </c>
      <c r="D212" s="138">
        <v>0.17</v>
      </c>
      <c r="E212" s="120">
        <v>10.7</v>
      </c>
      <c r="F212" s="139">
        <f>E212*D212</f>
        <v>1.82</v>
      </c>
    </row>
    <row r="213" spans="1:6" ht="15.75">
      <c r="A213" s="116" t="s">
        <v>70</v>
      </c>
      <c r="B213" s="136" t="s">
        <v>71</v>
      </c>
      <c r="C213" s="137" t="s">
        <v>69</v>
      </c>
      <c r="D213" s="138">
        <v>0.17</v>
      </c>
      <c r="E213" s="120">
        <v>8.4700000000000006</v>
      </c>
      <c r="F213" s="139">
        <f>E213*D213</f>
        <v>1.44</v>
      </c>
    </row>
    <row r="214" spans="1:6" ht="15.75">
      <c r="A214" s="631" t="s">
        <v>72</v>
      </c>
      <c r="B214" s="631"/>
      <c r="C214" s="631"/>
      <c r="D214" s="631"/>
      <c r="E214" s="631"/>
      <c r="F214" s="140">
        <f>SUM(F212:F213)</f>
        <v>3.26</v>
      </c>
    </row>
    <row r="215" spans="1:6" ht="15.75">
      <c r="A215" s="631" t="s">
        <v>73</v>
      </c>
      <c r="B215" s="631"/>
      <c r="C215" s="631"/>
      <c r="D215" s="631"/>
      <c r="E215" s="631"/>
      <c r="F215" s="140">
        <f>SUM(F214:F214)</f>
        <v>3.26</v>
      </c>
    </row>
    <row r="216" spans="1:6" ht="15.75">
      <c r="A216" s="232"/>
      <c r="B216" s="632" t="s">
        <v>74</v>
      </c>
      <c r="C216" s="632"/>
      <c r="D216" s="632"/>
      <c r="E216" s="632"/>
      <c r="F216" s="632"/>
    </row>
    <row r="217" spans="1:6" ht="15.75">
      <c r="A217" s="122" t="s">
        <v>370</v>
      </c>
      <c r="B217" s="136" t="s">
        <v>373</v>
      </c>
      <c r="C217" s="137" t="s">
        <v>18</v>
      </c>
      <c r="D217" s="138">
        <v>1</v>
      </c>
      <c r="E217" s="139">
        <v>0.5</v>
      </c>
      <c r="F217" s="139">
        <f>E217*D217</f>
        <v>0.5</v>
      </c>
    </row>
    <row r="218" spans="1:6" ht="15.75">
      <c r="A218" s="116" t="s">
        <v>77</v>
      </c>
      <c r="B218" s="136" t="s">
        <v>78</v>
      </c>
      <c r="C218" s="137" t="s">
        <v>81</v>
      </c>
      <c r="D218" s="138">
        <v>1.1599999999999999E-2</v>
      </c>
      <c r="E218" s="139">
        <v>31.96</v>
      </c>
      <c r="F218" s="139">
        <f>E218*D218</f>
        <v>0.37</v>
      </c>
    </row>
    <row r="219" spans="1:6" ht="15.75">
      <c r="A219" s="116" t="s">
        <v>79</v>
      </c>
      <c r="B219" s="136" t="s">
        <v>80</v>
      </c>
      <c r="C219" s="137" t="s">
        <v>81</v>
      </c>
      <c r="D219" s="138">
        <v>1.52E-2</v>
      </c>
      <c r="E219" s="139">
        <v>37.85</v>
      </c>
      <c r="F219" s="139">
        <f>E219*D219</f>
        <v>0.57999999999999996</v>
      </c>
    </row>
    <row r="220" spans="1:6" ht="15.75">
      <c r="A220" s="631" t="s">
        <v>82</v>
      </c>
      <c r="B220" s="631"/>
      <c r="C220" s="631"/>
      <c r="D220" s="631"/>
      <c r="E220" s="631"/>
      <c r="F220" s="140">
        <f>SUM(F217:F219)</f>
        <v>1.45</v>
      </c>
    </row>
    <row r="221" spans="1:6" ht="15.75">
      <c r="A221" s="633" t="s">
        <v>83</v>
      </c>
      <c r="B221" s="633"/>
      <c r="C221" s="633"/>
      <c r="D221" s="633"/>
      <c r="E221" s="633"/>
      <c r="F221" s="140">
        <f>SUM(F215+F220)</f>
        <v>4.71</v>
      </c>
    </row>
    <row r="222" spans="1:6" ht="15.75">
      <c r="A222" s="633" t="s">
        <v>84</v>
      </c>
      <c r="B222" s="633"/>
      <c r="C222" s="633"/>
      <c r="D222" s="633"/>
      <c r="E222" s="633"/>
      <c r="F222" s="140">
        <f>F221</f>
        <v>4.71</v>
      </c>
    </row>
    <row r="223" spans="1:6" ht="15.75">
      <c r="A223" s="22" t="s">
        <v>2</v>
      </c>
      <c r="B223" s="22" t="s">
        <v>62</v>
      </c>
      <c r="C223" s="22" t="s">
        <v>4</v>
      </c>
      <c r="D223" s="22" t="s">
        <v>63</v>
      </c>
      <c r="E223" s="22" t="s">
        <v>64</v>
      </c>
      <c r="F223" s="22" t="s">
        <v>65</v>
      </c>
    </row>
    <row r="224" spans="1:6" ht="15.75">
      <c r="A224" s="134"/>
      <c r="B224" s="666" t="s">
        <v>371</v>
      </c>
      <c r="C224" s="666"/>
      <c r="D224" s="666"/>
      <c r="E224" s="666"/>
      <c r="F224" s="666"/>
    </row>
    <row r="225" spans="1:6" ht="15.75">
      <c r="A225" s="135"/>
      <c r="B225" s="632" t="s">
        <v>66</v>
      </c>
      <c r="C225" s="632"/>
      <c r="D225" s="632"/>
      <c r="E225" s="632"/>
      <c r="F225" s="632"/>
    </row>
    <row r="226" spans="1:6" ht="15.75">
      <c r="A226" s="116" t="s">
        <v>67</v>
      </c>
      <c r="B226" s="136" t="s">
        <v>68</v>
      </c>
      <c r="C226" s="137" t="s">
        <v>69</v>
      </c>
      <c r="D226" s="138">
        <v>0.17</v>
      </c>
      <c r="E226" s="120">
        <v>10.7</v>
      </c>
      <c r="F226" s="139">
        <f>E226*D226</f>
        <v>1.82</v>
      </c>
    </row>
    <row r="227" spans="1:6" ht="15.75">
      <c r="A227" s="116" t="s">
        <v>70</v>
      </c>
      <c r="B227" s="136" t="s">
        <v>71</v>
      </c>
      <c r="C227" s="137" t="s">
        <v>69</v>
      </c>
      <c r="D227" s="138">
        <v>0.17</v>
      </c>
      <c r="E227" s="120">
        <v>8.4700000000000006</v>
      </c>
      <c r="F227" s="139">
        <f>E227*D227</f>
        <v>1.44</v>
      </c>
    </row>
    <row r="228" spans="1:6" ht="15.75">
      <c r="A228" s="631" t="s">
        <v>72</v>
      </c>
      <c r="B228" s="631"/>
      <c r="C228" s="631"/>
      <c r="D228" s="631"/>
      <c r="E228" s="631"/>
      <c r="F228" s="140">
        <f>SUM(F226:F227)</f>
        <v>3.26</v>
      </c>
    </row>
    <row r="229" spans="1:6" ht="15.75">
      <c r="A229" s="631" t="s">
        <v>73</v>
      </c>
      <c r="B229" s="631"/>
      <c r="C229" s="631"/>
      <c r="D229" s="631"/>
      <c r="E229" s="631"/>
      <c r="F229" s="140">
        <f>SUM(F228:F228)</f>
        <v>3.26</v>
      </c>
    </row>
    <row r="230" spans="1:6" ht="15.75">
      <c r="A230" s="232"/>
      <c r="B230" s="632" t="s">
        <v>74</v>
      </c>
      <c r="C230" s="632"/>
      <c r="D230" s="632"/>
      <c r="E230" s="632"/>
      <c r="F230" s="632"/>
    </row>
    <row r="231" spans="1:6" ht="47.25">
      <c r="A231" s="166" t="s">
        <v>374</v>
      </c>
      <c r="B231" s="136" t="s">
        <v>372</v>
      </c>
      <c r="C231" s="137" t="s">
        <v>18</v>
      </c>
      <c r="D231" s="138">
        <v>1</v>
      </c>
      <c r="E231" s="139">
        <v>0.95</v>
      </c>
      <c r="F231" s="139">
        <f>E231*D231</f>
        <v>0.95</v>
      </c>
    </row>
    <row r="232" spans="1:6" ht="15.75">
      <c r="A232" s="116" t="s">
        <v>77</v>
      </c>
      <c r="B232" s="136" t="s">
        <v>78</v>
      </c>
      <c r="C232" s="137" t="s">
        <v>81</v>
      </c>
      <c r="D232" s="138">
        <v>1.1599999999999999E-2</v>
      </c>
      <c r="E232" s="139">
        <v>31.96</v>
      </c>
      <c r="F232" s="139">
        <f>E232*D232</f>
        <v>0.37</v>
      </c>
    </row>
    <row r="233" spans="1:6" ht="15.75">
      <c r="A233" s="116" t="s">
        <v>79</v>
      </c>
      <c r="B233" s="136" t="s">
        <v>80</v>
      </c>
      <c r="C233" s="137" t="s">
        <v>81</v>
      </c>
      <c r="D233" s="138">
        <v>1.52E-2</v>
      </c>
      <c r="E233" s="139">
        <v>37.85</v>
      </c>
      <c r="F233" s="139">
        <f>E233*D233</f>
        <v>0.57999999999999996</v>
      </c>
    </row>
    <row r="234" spans="1:6" ht="15.75">
      <c r="A234" s="631" t="s">
        <v>82</v>
      </c>
      <c r="B234" s="631"/>
      <c r="C234" s="631"/>
      <c r="D234" s="631"/>
      <c r="E234" s="631"/>
      <c r="F234" s="140">
        <f>SUM(F231:F233)</f>
        <v>1.9</v>
      </c>
    </row>
    <row r="235" spans="1:6" ht="15.75">
      <c r="A235" s="633" t="s">
        <v>83</v>
      </c>
      <c r="B235" s="633"/>
      <c r="C235" s="633"/>
      <c r="D235" s="633"/>
      <c r="E235" s="633"/>
      <c r="F235" s="140">
        <f>SUM(F229+F234)</f>
        <v>5.16</v>
      </c>
    </row>
    <row r="236" spans="1:6" ht="15.75">
      <c r="A236" s="633" t="s">
        <v>84</v>
      </c>
      <c r="B236" s="633"/>
      <c r="C236" s="633"/>
      <c r="D236" s="633"/>
      <c r="E236" s="633"/>
      <c r="F236" s="140">
        <f>F235</f>
        <v>5.16</v>
      </c>
    </row>
    <row r="237" spans="1:6" ht="15.75">
      <c r="A237" s="22" t="s">
        <v>2</v>
      </c>
      <c r="B237" s="22" t="s">
        <v>62</v>
      </c>
      <c r="C237" s="22" t="s">
        <v>4</v>
      </c>
      <c r="D237" s="22" t="s">
        <v>63</v>
      </c>
      <c r="E237" s="22" t="s">
        <v>64</v>
      </c>
      <c r="F237" s="22" t="s">
        <v>65</v>
      </c>
    </row>
    <row r="238" spans="1:6" ht="15.75">
      <c r="A238" s="134"/>
      <c r="B238" s="666" t="s">
        <v>89</v>
      </c>
      <c r="C238" s="666"/>
      <c r="D238" s="666"/>
      <c r="E238" s="666"/>
      <c r="F238" s="666"/>
    </row>
    <row r="239" spans="1:6" ht="15.75">
      <c r="A239" s="135"/>
      <c r="B239" s="632" t="s">
        <v>66</v>
      </c>
      <c r="C239" s="632"/>
      <c r="D239" s="632"/>
      <c r="E239" s="632"/>
      <c r="F239" s="632"/>
    </row>
    <row r="240" spans="1:6" ht="15.75">
      <c r="A240" s="116" t="s">
        <v>67</v>
      </c>
      <c r="B240" s="136" t="s">
        <v>68</v>
      </c>
      <c r="C240" s="137" t="s">
        <v>69</v>
      </c>
      <c r="D240" s="138">
        <v>0.17</v>
      </c>
      <c r="E240" s="120">
        <v>10.7</v>
      </c>
      <c r="F240" s="139">
        <f>E240*D240</f>
        <v>1.82</v>
      </c>
    </row>
    <row r="241" spans="1:6" ht="15.75">
      <c r="A241" s="116" t="s">
        <v>70</v>
      </c>
      <c r="B241" s="136" t="s">
        <v>71</v>
      </c>
      <c r="C241" s="137" t="s">
        <v>69</v>
      </c>
      <c r="D241" s="138">
        <v>0.17</v>
      </c>
      <c r="E241" s="120">
        <v>8.4700000000000006</v>
      </c>
      <c r="F241" s="139">
        <f>E241*D241</f>
        <v>1.44</v>
      </c>
    </row>
    <row r="242" spans="1:6" ht="15.75">
      <c r="A242" s="631" t="s">
        <v>72</v>
      </c>
      <c r="B242" s="631"/>
      <c r="C242" s="631"/>
      <c r="D242" s="631"/>
      <c r="E242" s="631"/>
      <c r="F242" s="140">
        <f>SUM(F240:F241)</f>
        <v>3.26</v>
      </c>
    </row>
    <row r="243" spans="1:6" ht="15.75">
      <c r="A243" s="631" t="s">
        <v>73</v>
      </c>
      <c r="B243" s="631"/>
      <c r="C243" s="631"/>
      <c r="D243" s="631"/>
      <c r="E243" s="631"/>
      <c r="F243" s="140">
        <f>SUM(F242:F242)</f>
        <v>3.26</v>
      </c>
    </row>
    <row r="244" spans="1:6" ht="15.75">
      <c r="A244" s="232"/>
      <c r="B244" s="632" t="s">
        <v>74</v>
      </c>
      <c r="C244" s="632"/>
      <c r="D244" s="632"/>
      <c r="E244" s="632"/>
      <c r="F244" s="632"/>
    </row>
    <row r="245" spans="1:6" ht="15.75">
      <c r="A245" s="116" t="s">
        <v>90</v>
      </c>
      <c r="B245" s="136" t="s">
        <v>91</v>
      </c>
      <c r="C245" s="137" t="s">
        <v>18</v>
      </c>
      <c r="D245" s="138">
        <v>1</v>
      </c>
      <c r="E245" s="139">
        <v>1.89</v>
      </c>
      <c r="F245" s="139">
        <f>E245*D245</f>
        <v>1.89</v>
      </c>
    </row>
    <row r="246" spans="1:6" ht="15.75">
      <c r="A246" s="116" t="s">
        <v>77</v>
      </c>
      <c r="B246" s="136" t="s">
        <v>78</v>
      </c>
      <c r="C246" s="137" t="s">
        <v>81</v>
      </c>
      <c r="D246" s="138">
        <v>1.1599999999999999E-2</v>
      </c>
      <c r="E246" s="139">
        <v>31.96</v>
      </c>
      <c r="F246" s="139">
        <f>E246*D246</f>
        <v>0.37</v>
      </c>
    </row>
    <row r="247" spans="1:6" ht="15.75">
      <c r="A247" s="116" t="s">
        <v>79</v>
      </c>
      <c r="B247" s="136" t="s">
        <v>80</v>
      </c>
      <c r="C247" s="137" t="s">
        <v>81</v>
      </c>
      <c r="D247" s="138">
        <v>1.52E-2</v>
      </c>
      <c r="E247" s="139">
        <v>37.85</v>
      </c>
      <c r="F247" s="139">
        <f>E247*D247</f>
        <v>0.57999999999999996</v>
      </c>
    </row>
    <row r="248" spans="1:6" ht="15.75">
      <c r="A248" s="631" t="s">
        <v>82</v>
      </c>
      <c r="B248" s="631"/>
      <c r="C248" s="631"/>
      <c r="D248" s="631"/>
      <c r="E248" s="631"/>
      <c r="F248" s="140">
        <f>SUM(F245:F247)</f>
        <v>2.84</v>
      </c>
    </row>
    <row r="249" spans="1:6" ht="15.75">
      <c r="A249" s="633" t="s">
        <v>83</v>
      </c>
      <c r="B249" s="633"/>
      <c r="C249" s="633"/>
      <c r="D249" s="633"/>
      <c r="E249" s="633"/>
      <c r="F249" s="140">
        <f>SUM(F243+F248)</f>
        <v>6.1</v>
      </c>
    </row>
    <row r="250" spans="1:6" ht="15.75">
      <c r="A250" s="633" t="s">
        <v>84</v>
      </c>
      <c r="B250" s="633"/>
      <c r="C250" s="633"/>
      <c r="D250" s="633"/>
      <c r="E250" s="633"/>
      <c r="F250" s="140">
        <f>F249</f>
        <v>6.1</v>
      </c>
    </row>
    <row r="251" spans="1:6" ht="15.75">
      <c r="A251" s="22" t="s">
        <v>2</v>
      </c>
      <c r="B251" s="22" t="s">
        <v>62</v>
      </c>
      <c r="C251" s="22" t="s">
        <v>4</v>
      </c>
      <c r="D251" s="22" t="s">
        <v>63</v>
      </c>
      <c r="E251" s="22" t="s">
        <v>64</v>
      </c>
      <c r="F251" s="22" t="s">
        <v>65</v>
      </c>
    </row>
    <row r="252" spans="1:6" ht="15.75">
      <c r="A252" s="134"/>
      <c r="B252" s="666" t="s">
        <v>375</v>
      </c>
      <c r="C252" s="666"/>
      <c r="D252" s="666"/>
      <c r="E252" s="666"/>
      <c r="F252" s="666"/>
    </row>
    <row r="253" spans="1:6" ht="15.75">
      <c r="A253" s="135"/>
      <c r="B253" s="632" t="s">
        <v>66</v>
      </c>
      <c r="C253" s="632"/>
      <c r="D253" s="632"/>
      <c r="E253" s="632"/>
      <c r="F253" s="632"/>
    </row>
    <row r="254" spans="1:6" ht="15.75">
      <c r="A254" s="116" t="s">
        <v>67</v>
      </c>
      <c r="B254" s="136" t="s">
        <v>68</v>
      </c>
      <c r="C254" s="137" t="s">
        <v>69</v>
      </c>
      <c r="D254" s="138">
        <v>0.17</v>
      </c>
      <c r="E254" s="120">
        <v>10.7</v>
      </c>
      <c r="F254" s="139">
        <f>E254*D254</f>
        <v>1.82</v>
      </c>
    </row>
    <row r="255" spans="1:6" ht="15.75">
      <c r="A255" s="116" t="s">
        <v>70</v>
      </c>
      <c r="B255" s="136" t="s">
        <v>71</v>
      </c>
      <c r="C255" s="137" t="s">
        <v>69</v>
      </c>
      <c r="D255" s="138">
        <v>0.17</v>
      </c>
      <c r="E255" s="120">
        <v>8.4700000000000006</v>
      </c>
      <c r="F255" s="139">
        <f>E255*D255</f>
        <v>1.44</v>
      </c>
    </row>
    <row r="256" spans="1:6" ht="15.75">
      <c r="A256" s="631" t="s">
        <v>72</v>
      </c>
      <c r="B256" s="631"/>
      <c r="C256" s="631"/>
      <c r="D256" s="631"/>
      <c r="E256" s="631"/>
      <c r="F256" s="140">
        <f>SUM(F254:F255)</f>
        <v>3.26</v>
      </c>
    </row>
    <row r="257" spans="1:6" ht="15.75">
      <c r="A257" s="631" t="s">
        <v>73</v>
      </c>
      <c r="B257" s="631"/>
      <c r="C257" s="631"/>
      <c r="D257" s="631"/>
      <c r="E257" s="631"/>
      <c r="F257" s="140">
        <f>SUM(F256:F256)</f>
        <v>3.26</v>
      </c>
    </row>
    <row r="258" spans="1:6" ht="15.75">
      <c r="A258" s="232"/>
      <c r="B258" s="632" t="s">
        <v>74</v>
      </c>
      <c r="C258" s="632"/>
      <c r="D258" s="632"/>
      <c r="E258" s="632"/>
      <c r="F258" s="632"/>
    </row>
    <row r="259" spans="1:6" ht="15.75">
      <c r="A259" s="122" t="s">
        <v>377</v>
      </c>
      <c r="B259" s="136" t="s">
        <v>376</v>
      </c>
      <c r="C259" s="137" t="s">
        <v>18</v>
      </c>
      <c r="D259" s="138">
        <v>1</v>
      </c>
      <c r="E259" s="139">
        <v>3.67</v>
      </c>
      <c r="F259" s="139">
        <f>E259*D259</f>
        <v>3.67</v>
      </c>
    </row>
    <row r="260" spans="1:6" ht="15.75">
      <c r="A260" s="116" t="s">
        <v>77</v>
      </c>
      <c r="B260" s="136" t="s">
        <v>78</v>
      </c>
      <c r="C260" s="137" t="s">
        <v>81</v>
      </c>
      <c r="D260" s="138">
        <v>1.1599999999999999E-2</v>
      </c>
      <c r="E260" s="139">
        <v>31.96</v>
      </c>
      <c r="F260" s="139">
        <f>E260*D260</f>
        <v>0.37</v>
      </c>
    </row>
    <row r="261" spans="1:6" ht="15.75">
      <c r="A261" s="116" t="s">
        <v>79</v>
      </c>
      <c r="B261" s="136" t="s">
        <v>80</v>
      </c>
      <c r="C261" s="137" t="s">
        <v>81</v>
      </c>
      <c r="D261" s="138">
        <v>1.52E-2</v>
      </c>
      <c r="E261" s="139">
        <v>37.85</v>
      </c>
      <c r="F261" s="139">
        <f>E261*D261</f>
        <v>0.57999999999999996</v>
      </c>
    </row>
    <row r="262" spans="1:6" ht="15.75">
      <c r="A262" s="631" t="s">
        <v>82</v>
      </c>
      <c r="B262" s="631"/>
      <c r="C262" s="631"/>
      <c r="D262" s="631"/>
      <c r="E262" s="631"/>
      <c r="F262" s="140">
        <f>SUM(F259:F261)</f>
        <v>4.62</v>
      </c>
    </row>
    <row r="263" spans="1:6" ht="15.75">
      <c r="A263" s="633" t="s">
        <v>83</v>
      </c>
      <c r="B263" s="633"/>
      <c r="C263" s="633"/>
      <c r="D263" s="633"/>
      <c r="E263" s="633"/>
      <c r="F263" s="140">
        <f>SUM(F257+F262)</f>
        <v>7.88</v>
      </c>
    </row>
    <row r="264" spans="1:6" ht="15.75">
      <c r="A264" s="633" t="s">
        <v>84</v>
      </c>
      <c r="B264" s="633"/>
      <c r="C264" s="633"/>
      <c r="D264" s="633"/>
      <c r="E264" s="633"/>
      <c r="F264" s="140">
        <f>F263</f>
        <v>7.88</v>
      </c>
    </row>
    <row r="265" spans="1:6" ht="15.75">
      <c r="A265" s="22" t="s">
        <v>2</v>
      </c>
      <c r="B265" s="22" t="s">
        <v>62</v>
      </c>
      <c r="C265" s="22" t="s">
        <v>4</v>
      </c>
      <c r="D265" s="22" t="s">
        <v>63</v>
      </c>
      <c r="E265" s="22" t="s">
        <v>64</v>
      </c>
      <c r="F265" s="22" t="s">
        <v>65</v>
      </c>
    </row>
    <row r="266" spans="1:6" ht="15.75">
      <c r="A266" s="134"/>
      <c r="B266" s="666" t="s">
        <v>378</v>
      </c>
      <c r="C266" s="666"/>
      <c r="D266" s="666"/>
      <c r="E266" s="666"/>
      <c r="F266" s="666"/>
    </row>
    <row r="267" spans="1:6" ht="15.75">
      <c r="A267" s="135"/>
      <c r="B267" s="632" t="s">
        <v>66</v>
      </c>
      <c r="C267" s="632"/>
      <c r="D267" s="632"/>
      <c r="E267" s="632"/>
      <c r="F267" s="632"/>
    </row>
    <row r="268" spans="1:6" ht="15.75">
      <c r="A268" s="116" t="s">
        <v>67</v>
      </c>
      <c r="B268" s="136" t="s">
        <v>68</v>
      </c>
      <c r="C268" s="137" t="s">
        <v>69</v>
      </c>
      <c r="D268" s="138">
        <v>0.17</v>
      </c>
      <c r="E268" s="120">
        <v>10.7</v>
      </c>
      <c r="F268" s="139">
        <f>E268*D268</f>
        <v>1.82</v>
      </c>
    </row>
    <row r="269" spans="1:6" ht="15.75">
      <c r="A269" s="116" t="s">
        <v>70</v>
      </c>
      <c r="B269" s="136" t="s">
        <v>71</v>
      </c>
      <c r="C269" s="137" t="s">
        <v>69</v>
      </c>
      <c r="D269" s="138">
        <v>0.17</v>
      </c>
      <c r="E269" s="120">
        <v>8.4700000000000006</v>
      </c>
      <c r="F269" s="139">
        <f>E269*D269</f>
        <v>1.44</v>
      </c>
    </row>
    <row r="270" spans="1:6" ht="15.75">
      <c r="A270" s="631" t="s">
        <v>72</v>
      </c>
      <c r="B270" s="631"/>
      <c r="C270" s="631"/>
      <c r="D270" s="631"/>
      <c r="E270" s="631"/>
      <c r="F270" s="140">
        <f>SUM(F268:F269)</f>
        <v>3.26</v>
      </c>
    </row>
    <row r="271" spans="1:6" ht="15.75">
      <c r="A271" s="631" t="s">
        <v>73</v>
      </c>
      <c r="B271" s="631"/>
      <c r="C271" s="631"/>
      <c r="D271" s="631"/>
      <c r="E271" s="631"/>
      <c r="F271" s="140">
        <f>SUM(F270:F270)</f>
        <v>3.26</v>
      </c>
    </row>
    <row r="272" spans="1:6" ht="15.75">
      <c r="A272" s="232"/>
      <c r="B272" s="632" t="s">
        <v>74</v>
      </c>
      <c r="C272" s="632"/>
      <c r="D272" s="632"/>
      <c r="E272" s="632"/>
      <c r="F272" s="632"/>
    </row>
    <row r="273" spans="1:6" ht="15.75">
      <c r="A273" s="122" t="s">
        <v>380</v>
      </c>
      <c r="B273" s="136" t="s">
        <v>379</v>
      </c>
      <c r="C273" s="137" t="s">
        <v>18</v>
      </c>
      <c r="D273" s="138">
        <v>1</v>
      </c>
      <c r="E273" s="139">
        <v>1.44</v>
      </c>
      <c r="F273" s="139">
        <f>E273*D273</f>
        <v>1.44</v>
      </c>
    </row>
    <row r="274" spans="1:6" ht="15.75">
      <c r="A274" s="116" t="s">
        <v>77</v>
      </c>
      <c r="B274" s="136" t="s">
        <v>78</v>
      </c>
      <c r="C274" s="137" t="s">
        <v>81</v>
      </c>
      <c r="D274" s="138">
        <v>1.1599999999999999E-2</v>
      </c>
      <c r="E274" s="139">
        <v>31.96</v>
      </c>
      <c r="F274" s="139">
        <f>E274*D274</f>
        <v>0.37</v>
      </c>
    </row>
    <row r="275" spans="1:6" ht="15.75">
      <c r="A275" s="116" t="s">
        <v>79</v>
      </c>
      <c r="B275" s="136" t="s">
        <v>80</v>
      </c>
      <c r="C275" s="137" t="s">
        <v>81</v>
      </c>
      <c r="D275" s="138">
        <v>1.52E-2</v>
      </c>
      <c r="E275" s="139">
        <v>37.85</v>
      </c>
      <c r="F275" s="139">
        <f>E275*D275</f>
        <v>0.57999999999999996</v>
      </c>
    </row>
    <row r="276" spans="1:6" ht="15.75">
      <c r="A276" s="631" t="s">
        <v>82</v>
      </c>
      <c r="B276" s="631"/>
      <c r="C276" s="631"/>
      <c r="D276" s="631"/>
      <c r="E276" s="631"/>
      <c r="F276" s="140">
        <f>SUM(F273:F275)</f>
        <v>2.39</v>
      </c>
    </row>
    <row r="277" spans="1:6" ht="15.75">
      <c r="A277" s="633" t="s">
        <v>83</v>
      </c>
      <c r="B277" s="633"/>
      <c r="C277" s="633"/>
      <c r="D277" s="633"/>
      <c r="E277" s="633"/>
      <c r="F277" s="140">
        <f>SUM(F271+F276)</f>
        <v>5.65</v>
      </c>
    </row>
    <row r="278" spans="1:6" ht="15.75">
      <c r="A278" s="633" t="s">
        <v>84</v>
      </c>
      <c r="B278" s="633"/>
      <c r="C278" s="633"/>
      <c r="D278" s="633"/>
      <c r="E278" s="633"/>
      <c r="F278" s="140">
        <f>F277</f>
        <v>5.65</v>
      </c>
    </row>
    <row r="279" spans="1:6" ht="15.75">
      <c r="A279" s="22" t="s">
        <v>2</v>
      </c>
      <c r="B279" s="22" t="s">
        <v>62</v>
      </c>
      <c r="C279" s="22" t="s">
        <v>4</v>
      </c>
      <c r="D279" s="22" t="s">
        <v>63</v>
      </c>
      <c r="E279" s="22" t="s">
        <v>64</v>
      </c>
      <c r="F279" s="22" t="s">
        <v>65</v>
      </c>
    </row>
    <row r="280" spans="1:6" ht="15.75">
      <c r="A280" s="134"/>
      <c r="B280" s="666" t="s">
        <v>383</v>
      </c>
      <c r="C280" s="666"/>
      <c r="D280" s="666"/>
      <c r="E280" s="666"/>
      <c r="F280" s="666"/>
    </row>
    <row r="281" spans="1:6" ht="15.75">
      <c r="A281" s="135"/>
      <c r="B281" s="632" t="s">
        <v>66</v>
      </c>
      <c r="C281" s="632"/>
      <c r="D281" s="632"/>
      <c r="E281" s="632"/>
      <c r="F281" s="632"/>
    </row>
    <row r="282" spans="1:6" ht="15.75">
      <c r="A282" s="116" t="s">
        <v>67</v>
      </c>
      <c r="B282" s="136" t="s">
        <v>68</v>
      </c>
      <c r="C282" s="137" t="s">
        <v>69</v>
      </c>
      <c r="D282" s="138">
        <v>0.17</v>
      </c>
      <c r="E282" s="120">
        <v>10.7</v>
      </c>
      <c r="F282" s="139">
        <f>E282*D282</f>
        <v>1.82</v>
      </c>
    </row>
    <row r="283" spans="1:6" ht="15.75">
      <c r="A283" s="116" t="s">
        <v>70</v>
      </c>
      <c r="B283" s="136" t="s">
        <v>71</v>
      </c>
      <c r="C283" s="137" t="s">
        <v>69</v>
      </c>
      <c r="D283" s="138">
        <v>0.17</v>
      </c>
      <c r="E283" s="120">
        <v>8.4700000000000006</v>
      </c>
      <c r="F283" s="139">
        <f>E283*D283</f>
        <v>1.44</v>
      </c>
    </row>
    <row r="284" spans="1:6" ht="15.75">
      <c r="A284" s="631" t="s">
        <v>72</v>
      </c>
      <c r="B284" s="631"/>
      <c r="C284" s="631"/>
      <c r="D284" s="631"/>
      <c r="E284" s="631"/>
      <c r="F284" s="140">
        <f>SUM(F282:F283)</f>
        <v>3.26</v>
      </c>
    </row>
    <row r="285" spans="1:6" ht="15.75">
      <c r="A285" s="631" t="s">
        <v>73</v>
      </c>
      <c r="B285" s="631"/>
      <c r="C285" s="631"/>
      <c r="D285" s="631"/>
      <c r="E285" s="631"/>
      <c r="F285" s="140">
        <f>SUM(F284:F284)</f>
        <v>3.26</v>
      </c>
    </row>
    <row r="286" spans="1:6" ht="15.75">
      <c r="A286" s="232"/>
      <c r="B286" s="632" t="s">
        <v>74</v>
      </c>
      <c r="C286" s="632"/>
      <c r="D286" s="632"/>
      <c r="E286" s="632"/>
      <c r="F286" s="632"/>
    </row>
    <row r="287" spans="1:6" ht="15.75">
      <c r="A287" s="122" t="s">
        <v>382</v>
      </c>
      <c r="B287" s="136" t="s">
        <v>381</v>
      </c>
      <c r="C287" s="137" t="s">
        <v>18</v>
      </c>
      <c r="D287" s="138">
        <v>1</v>
      </c>
      <c r="E287" s="139">
        <v>2.23</v>
      </c>
      <c r="F287" s="139">
        <f>E287*D287</f>
        <v>2.23</v>
      </c>
    </row>
    <row r="288" spans="1:6" ht="15.75">
      <c r="A288" s="116" t="s">
        <v>77</v>
      </c>
      <c r="B288" s="136" t="s">
        <v>78</v>
      </c>
      <c r="C288" s="137" t="s">
        <v>81</v>
      </c>
      <c r="D288" s="138">
        <v>1.1599999999999999E-2</v>
      </c>
      <c r="E288" s="139">
        <v>31.96</v>
      </c>
      <c r="F288" s="139">
        <f>E288*D288</f>
        <v>0.37</v>
      </c>
    </row>
    <row r="289" spans="1:6" ht="15.75">
      <c r="A289" s="116" t="s">
        <v>79</v>
      </c>
      <c r="B289" s="136" t="s">
        <v>80</v>
      </c>
      <c r="C289" s="137" t="s">
        <v>81</v>
      </c>
      <c r="D289" s="138">
        <v>1.52E-2</v>
      </c>
      <c r="E289" s="139">
        <v>37.85</v>
      </c>
      <c r="F289" s="139">
        <f>E289*D289</f>
        <v>0.57999999999999996</v>
      </c>
    </row>
    <row r="290" spans="1:6" ht="15.75">
      <c r="A290" s="631" t="s">
        <v>82</v>
      </c>
      <c r="B290" s="631"/>
      <c r="C290" s="631"/>
      <c r="D290" s="631"/>
      <c r="E290" s="631"/>
      <c r="F290" s="140">
        <f>SUM(F287:F289)</f>
        <v>3.18</v>
      </c>
    </row>
    <row r="291" spans="1:6" ht="15.75">
      <c r="A291" s="633" t="s">
        <v>83</v>
      </c>
      <c r="B291" s="633"/>
      <c r="C291" s="633"/>
      <c r="D291" s="633"/>
      <c r="E291" s="633"/>
      <c r="F291" s="140">
        <f>SUM(F285+F290)</f>
        <v>6.44</v>
      </c>
    </row>
    <row r="292" spans="1:6" ht="15.75">
      <c r="A292" s="633" t="s">
        <v>84</v>
      </c>
      <c r="B292" s="633"/>
      <c r="C292" s="633"/>
      <c r="D292" s="633"/>
      <c r="E292" s="633"/>
      <c r="F292" s="140">
        <f>F291</f>
        <v>6.44</v>
      </c>
    </row>
    <row r="293" spans="1:6" ht="15.75">
      <c r="A293" s="22" t="s">
        <v>2</v>
      </c>
      <c r="B293" s="22" t="s">
        <v>62</v>
      </c>
      <c r="C293" s="22" t="s">
        <v>4</v>
      </c>
      <c r="D293" s="22" t="s">
        <v>63</v>
      </c>
      <c r="E293" s="22" t="s">
        <v>64</v>
      </c>
      <c r="F293" s="22" t="s">
        <v>65</v>
      </c>
    </row>
    <row r="294" spans="1:6" ht="15.75">
      <c r="A294" s="134"/>
      <c r="B294" s="666" t="s">
        <v>384</v>
      </c>
      <c r="C294" s="666"/>
      <c r="D294" s="666"/>
      <c r="E294" s="666"/>
      <c r="F294" s="666"/>
    </row>
    <row r="295" spans="1:6" ht="15.75">
      <c r="A295" s="135"/>
      <c r="B295" s="632" t="s">
        <v>66</v>
      </c>
      <c r="C295" s="632"/>
      <c r="D295" s="632"/>
      <c r="E295" s="632"/>
      <c r="F295" s="632"/>
    </row>
    <row r="296" spans="1:6" ht="15.75">
      <c r="A296" s="116" t="s">
        <v>67</v>
      </c>
      <c r="B296" s="136" t="s">
        <v>68</v>
      </c>
      <c r="C296" s="137" t="s">
        <v>69</v>
      </c>
      <c r="D296" s="138">
        <v>0.17</v>
      </c>
      <c r="E296" s="120">
        <v>10.7</v>
      </c>
      <c r="F296" s="139">
        <f>E296*D296</f>
        <v>1.82</v>
      </c>
    </row>
    <row r="297" spans="1:6" ht="15.75">
      <c r="A297" s="116" t="s">
        <v>70</v>
      </c>
      <c r="B297" s="136" t="s">
        <v>71</v>
      </c>
      <c r="C297" s="137" t="s">
        <v>69</v>
      </c>
      <c r="D297" s="138">
        <v>0.17</v>
      </c>
      <c r="E297" s="120">
        <v>8.4700000000000006</v>
      </c>
      <c r="F297" s="139">
        <f>E297*D297</f>
        <v>1.44</v>
      </c>
    </row>
    <row r="298" spans="1:6" ht="15.75">
      <c r="A298" s="631" t="s">
        <v>72</v>
      </c>
      <c r="B298" s="631"/>
      <c r="C298" s="631"/>
      <c r="D298" s="631"/>
      <c r="E298" s="631"/>
      <c r="F298" s="140">
        <f>SUM(F296:F297)</f>
        <v>3.26</v>
      </c>
    </row>
    <row r="299" spans="1:6" ht="15.75">
      <c r="A299" s="631" t="s">
        <v>73</v>
      </c>
      <c r="B299" s="631"/>
      <c r="C299" s="631"/>
      <c r="D299" s="631"/>
      <c r="E299" s="631"/>
      <c r="F299" s="140">
        <f>SUM(F298:F298)</f>
        <v>3.26</v>
      </c>
    </row>
    <row r="300" spans="1:6" ht="15.75">
      <c r="A300" s="232"/>
      <c r="B300" s="632" t="s">
        <v>74</v>
      </c>
      <c r="C300" s="632"/>
      <c r="D300" s="632"/>
      <c r="E300" s="632"/>
      <c r="F300" s="632"/>
    </row>
    <row r="301" spans="1:6" ht="15.75">
      <c r="A301" s="122" t="s">
        <v>386</v>
      </c>
      <c r="B301" s="136" t="s">
        <v>385</v>
      </c>
      <c r="C301" s="137" t="s">
        <v>18</v>
      </c>
      <c r="D301" s="138">
        <v>1</v>
      </c>
      <c r="E301" s="139">
        <v>5.85</v>
      </c>
      <c r="F301" s="139">
        <f>E301*D301</f>
        <v>5.85</v>
      </c>
    </row>
    <row r="302" spans="1:6" ht="15.75">
      <c r="A302" s="116" t="s">
        <v>77</v>
      </c>
      <c r="B302" s="136" t="s">
        <v>78</v>
      </c>
      <c r="C302" s="137" t="s">
        <v>81</v>
      </c>
      <c r="D302" s="138">
        <v>1.1599999999999999E-2</v>
      </c>
      <c r="E302" s="139">
        <v>31.96</v>
      </c>
      <c r="F302" s="139">
        <f>E302*D302</f>
        <v>0.37</v>
      </c>
    </row>
    <row r="303" spans="1:6" ht="15.75">
      <c r="A303" s="116" t="s">
        <v>79</v>
      </c>
      <c r="B303" s="136" t="s">
        <v>80</v>
      </c>
      <c r="C303" s="137" t="s">
        <v>81</v>
      </c>
      <c r="D303" s="138">
        <v>1.52E-2</v>
      </c>
      <c r="E303" s="139">
        <v>37.85</v>
      </c>
      <c r="F303" s="139">
        <f>E303*D303</f>
        <v>0.57999999999999996</v>
      </c>
    </row>
    <row r="304" spans="1:6" ht="15.75">
      <c r="A304" s="631" t="s">
        <v>82</v>
      </c>
      <c r="B304" s="631"/>
      <c r="C304" s="631"/>
      <c r="D304" s="631"/>
      <c r="E304" s="631"/>
      <c r="F304" s="140">
        <f>SUM(F301:F303)</f>
        <v>6.8</v>
      </c>
    </row>
    <row r="305" spans="1:6" ht="15.75">
      <c r="A305" s="633" t="s">
        <v>83</v>
      </c>
      <c r="B305" s="633"/>
      <c r="C305" s="633"/>
      <c r="D305" s="633"/>
      <c r="E305" s="633"/>
      <c r="F305" s="140">
        <f>SUM(F299+F304)</f>
        <v>10.06</v>
      </c>
    </row>
    <row r="306" spans="1:6" ht="15.75">
      <c r="A306" s="633" t="s">
        <v>84</v>
      </c>
      <c r="B306" s="633"/>
      <c r="C306" s="633"/>
      <c r="D306" s="633"/>
      <c r="E306" s="633"/>
      <c r="F306" s="140">
        <f>F305</f>
        <v>10.06</v>
      </c>
    </row>
    <row r="307" spans="1:6" ht="15.75">
      <c r="A307" s="22" t="s">
        <v>2</v>
      </c>
      <c r="B307" s="22" t="s">
        <v>62</v>
      </c>
      <c r="C307" s="22" t="s">
        <v>4</v>
      </c>
      <c r="D307" s="22" t="s">
        <v>63</v>
      </c>
      <c r="E307" s="22" t="s">
        <v>64</v>
      </c>
      <c r="F307" s="22" t="s">
        <v>65</v>
      </c>
    </row>
    <row r="308" spans="1:6" ht="15.75">
      <c r="A308" s="134"/>
      <c r="B308" s="666" t="s">
        <v>387</v>
      </c>
      <c r="C308" s="666"/>
      <c r="D308" s="666"/>
      <c r="E308" s="666"/>
      <c r="F308" s="666"/>
    </row>
    <row r="309" spans="1:6" ht="15.75">
      <c r="A309" s="135"/>
      <c r="B309" s="632" t="s">
        <v>66</v>
      </c>
      <c r="C309" s="632"/>
      <c r="D309" s="632"/>
      <c r="E309" s="632"/>
      <c r="F309" s="632"/>
    </row>
    <row r="310" spans="1:6" ht="15.75">
      <c r="A310" s="116" t="s">
        <v>67</v>
      </c>
      <c r="B310" s="136" t="s">
        <v>68</v>
      </c>
      <c r="C310" s="137" t="s">
        <v>69</v>
      </c>
      <c r="D310" s="138">
        <v>0.17</v>
      </c>
      <c r="E310" s="120">
        <v>10.7</v>
      </c>
      <c r="F310" s="139">
        <f>E310*D310</f>
        <v>1.82</v>
      </c>
    </row>
    <row r="311" spans="1:6" ht="15.75">
      <c r="A311" s="116" t="s">
        <v>70</v>
      </c>
      <c r="B311" s="136" t="s">
        <v>71</v>
      </c>
      <c r="C311" s="137" t="s">
        <v>69</v>
      </c>
      <c r="D311" s="138">
        <v>0.17</v>
      </c>
      <c r="E311" s="120">
        <v>8.4700000000000006</v>
      </c>
      <c r="F311" s="139">
        <f>E311*D311</f>
        <v>1.44</v>
      </c>
    </row>
    <row r="312" spans="1:6" ht="15.75">
      <c r="A312" s="631" t="s">
        <v>72</v>
      </c>
      <c r="B312" s="631"/>
      <c r="C312" s="631"/>
      <c r="D312" s="631"/>
      <c r="E312" s="631"/>
      <c r="F312" s="140">
        <f>SUM(F310:F311)</f>
        <v>3.26</v>
      </c>
    </row>
    <row r="313" spans="1:6" ht="15.75">
      <c r="A313" s="631" t="s">
        <v>73</v>
      </c>
      <c r="B313" s="631"/>
      <c r="C313" s="631"/>
      <c r="D313" s="631"/>
      <c r="E313" s="631"/>
      <c r="F313" s="140">
        <f>SUM(F312:F312)</f>
        <v>3.26</v>
      </c>
    </row>
    <row r="314" spans="1:6" ht="15.75">
      <c r="A314" s="232"/>
      <c r="B314" s="632" t="s">
        <v>74</v>
      </c>
      <c r="C314" s="632"/>
      <c r="D314" s="632"/>
      <c r="E314" s="632"/>
      <c r="F314" s="632"/>
    </row>
    <row r="315" spans="1:6" ht="15.75">
      <c r="A315" s="122" t="s">
        <v>389</v>
      </c>
      <c r="B315" s="136" t="s">
        <v>388</v>
      </c>
      <c r="C315" s="137" t="s">
        <v>18</v>
      </c>
      <c r="D315" s="138">
        <v>1</v>
      </c>
      <c r="E315" s="139">
        <v>6.2</v>
      </c>
      <c r="F315" s="139">
        <f>E315*D315</f>
        <v>6.2</v>
      </c>
    </row>
    <row r="316" spans="1:6" ht="15.75">
      <c r="A316" s="116" t="s">
        <v>77</v>
      </c>
      <c r="B316" s="136" t="s">
        <v>78</v>
      </c>
      <c r="C316" s="137" t="s">
        <v>81</v>
      </c>
      <c r="D316" s="138">
        <v>1.1599999999999999E-2</v>
      </c>
      <c r="E316" s="139">
        <v>31.96</v>
      </c>
      <c r="F316" s="139">
        <f>E316*D316</f>
        <v>0.37</v>
      </c>
    </row>
    <row r="317" spans="1:6" ht="15.75">
      <c r="A317" s="116" t="s">
        <v>79</v>
      </c>
      <c r="B317" s="136" t="s">
        <v>80</v>
      </c>
      <c r="C317" s="137" t="s">
        <v>81</v>
      </c>
      <c r="D317" s="138">
        <v>1.52E-2</v>
      </c>
      <c r="E317" s="139">
        <v>37.85</v>
      </c>
      <c r="F317" s="139">
        <f>E317*D317</f>
        <v>0.57999999999999996</v>
      </c>
    </row>
    <row r="318" spans="1:6" ht="15.75">
      <c r="A318" s="631" t="s">
        <v>82</v>
      </c>
      <c r="B318" s="631"/>
      <c r="C318" s="631"/>
      <c r="D318" s="631"/>
      <c r="E318" s="631"/>
      <c r="F318" s="140">
        <f>SUM(F315:F317)</f>
        <v>7.15</v>
      </c>
    </row>
    <row r="319" spans="1:6" ht="15.75">
      <c r="A319" s="633" t="s">
        <v>83</v>
      </c>
      <c r="B319" s="633"/>
      <c r="C319" s="633"/>
      <c r="D319" s="633"/>
      <c r="E319" s="633"/>
      <c r="F319" s="140">
        <f>SUM(F313+F318)</f>
        <v>10.41</v>
      </c>
    </row>
    <row r="320" spans="1:6" ht="15.75">
      <c r="A320" s="633" t="s">
        <v>84</v>
      </c>
      <c r="B320" s="633"/>
      <c r="C320" s="633"/>
      <c r="D320" s="633"/>
      <c r="E320" s="633"/>
      <c r="F320" s="140">
        <f>F319</f>
        <v>10.41</v>
      </c>
    </row>
    <row r="321" spans="1:6" ht="15.75">
      <c r="A321" s="22" t="s">
        <v>2</v>
      </c>
      <c r="B321" s="22" t="s">
        <v>62</v>
      </c>
      <c r="C321" s="22" t="s">
        <v>4</v>
      </c>
      <c r="D321" s="22" t="s">
        <v>63</v>
      </c>
      <c r="E321" s="22" t="s">
        <v>64</v>
      </c>
      <c r="F321" s="22" t="s">
        <v>65</v>
      </c>
    </row>
    <row r="322" spans="1:6" ht="15.75" customHeight="1">
      <c r="A322" s="134"/>
      <c r="B322" s="666" t="s">
        <v>92</v>
      </c>
      <c r="C322" s="666"/>
      <c r="D322" s="666"/>
      <c r="E322" s="666"/>
      <c r="F322" s="666"/>
    </row>
    <row r="323" spans="1:6" ht="15.75">
      <c r="A323" s="135"/>
      <c r="B323" s="632" t="s">
        <v>66</v>
      </c>
      <c r="C323" s="632"/>
      <c r="D323" s="632"/>
      <c r="E323" s="632"/>
      <c r="F323" s="632"/>
    </row>
    <row r="324" spans="1:6" ht="15.75">
      <c r="A324" s="116" t="s">
        <v>67</v>
      </c>
      <c r="B324" s="136" t="s">
        <v>68</v>
      </c>
      <c r="C324" s="137" t="s">
        <v>69</v>
      </c>
      <c r="D324" s="138">
        <v>0.18</v>
      </c>
      <c r="E324" s="120">
        <v>10.7</v>
      </c>
      <c r="F324" s="139">
        <f>E324*D324</f>
        <v>1.93</v>
      </c>
    </row>
    <row r="325" spans="1:6" ht="15.75">
      <c r="A325" s="116" t="s">
        <v>70</v>
      </c>
      <c r="B325" s="136" t="s">
        <v>71</v>
      </c>
      <c r="C325" s="137" t="s">
        <v>69</v>
      </c>
      <c r="D325" s="138">
        <v>0.18</v>
      </c>
      <c r="E325" s="120">
        <v>8.4700000000000006</v>
      </c>
      <c r="F325" s="139">
        <f>E325*D325</f>
        <v>1.52</v>
      </c>
    </row>
    <row r="326" spans="1:6" ht="15.75">
      <c r="A326" s="631" t="s">
        <v>72</v>
      </c>
      <c r="B326" s="631"/>
      <c r="C326" s="631"/>
      <c r="D326" s="631"/>
      <c r="E326" s="631"/>
      <c r="F326" s="140">
        <f>SUM(F324:F325)</f>
        <v>3.45</v>
      </c>
    </row>
    <row r="327" spans="1:6" ht="15.75">
      <c r="A327" s="631" t="s">
        <v>73</v>
      </c>
      <c r="B327" s="631"/>
      <c r="C327" s="631"/>
      <c r="D327" s="631"/>
      <c r="E327" s="631"/>
      <c r="F327" s="140">
        <f>SUM(F326:F326)</f>
        <v>3.45</v>
      </c>
    </row>
    <row r="328" spans="1:6" ht="15.75">
      <c r="A328" s="214"/>
      <c r="B328" s="632" t="s">
        <v>74</v>
      </c>
      <c r="C328" s="632"/>
      <c r="D328" s="632"/>
      <c r="E328" s="632"/>
      <c r="F328" s="632"/>
    </row>
    <row r="329" spans="1:6" ht="15.75">
      <c r="A329" s="122" t="s">
        <v>93</v>
      </c>
      <c r="B329" s="136" t="s">
        <v>94</v>
      </c>
      <c r="C329" s="137" t="s">
        <v>18</v>
      </c>
      <c r="D329" s="138">
        <v>1</v>
      </c>
      <c r="E329" s="139">
        <v>1.7</v>
      </c>
      <c r="F329" s="139">
        <f>E329*D329</f>
        <v>1.7</v>
      </c>
    </row>
    <row r="330" spans="1:6" ht="15.75">
      <c r="A330" s="116" t="s">
        <v>77</v>
      </c>
      <c r="B330" s="136" t="s">
        <v>78</v>
      </c>
      <c r="C330" s="137" t="s">
        <v>81</v>
      </c>
      <c r="D330" s="138">
        <v>5.3E-3</v>
      </c>
      <c r="E330" s="139">
        <v>31.96</v>
      </c>
      <c r="F330" s="139">
        <f>E330*D330</f>
        <v>0.17</v>
      </c>
    </row>
    <row r="331" spans="1:6" ht="15.75">
      <c r="A331" s="116" t="s">
        <v>79</v>
      </c>
      <c r="B331" s="136" t="s">
        <v>80</v>
      </c>
      <c r="C331" s="137" t="s">
        <v>81</v>
      </c>
      <c r="D331" s="138">
        <v>9.4999999999999998E-3</v>
      </c>
      <c r="E331" s="139">
        <v>37.85</v>
      </c>
      <c r="F331" s="139">
        <f>E331*D331</f>
        <v>0.36</v>
      </c>
    </row>
    <row r="332" spans="1:6" ht="15.75">
      <c r="A332" s="631" t="s">
        <v>82</v>
      </c>
      <c r="B332" s="631"/>
      <c r="C332" s="631"/>
      <c r="D332" s="631"/>
      <c r="E332" s="631"/>
      <c r="F332" s="140">
        <f>SUM(F329:F331)</f>
        <v>2.23</v>
      </c>
    </row>
    <row r="333" spans="1:6" ht="15.75">
      <c r="A333" s="633" t="s">
        <v>83</v>
      </c>
      <c r="B333" s="633"/>
      <c r="C333" s="633"/>
      <c r="D333" s="633"/>
      <c r="E333" s="633"/>
      <c r="F333" s="140">
        <f>SUM(F327+F332)</f>
        <v>5.68</v>
      </c>
    </row>
    <row r="334" spans="1:6" ht="15.75">
      <c r="A334" s="633" t="s">
        <v>84</v>
      </c>
      <c r="B334" s="633"/>
      <c r="C334" s="633"/>
      <c r="D334" s="633"/>
      <c r="E334" s="633"/>
      <c r="F334" s="140">
        <f>F333</f>
        <v>5.68</v>
      </c>
    </row>
    <row r="335" spans="1:6" ht="15.75">
      <c r="A335" s="22" t="s">
        <v>2</v>
      </c>
      <c r="B335" s="22" t="s">
        <v>62</v>
      </c>
      <c r="C335" s="22" t="s">
        <v>4</v>
      </c>
      <c r="D335" s="22" t="s">
        <v>63</v>
      </c>
      <c r="E335" s="22" t="s">
        <v>64</v>
      </c>
      <c r="F335" s="22" t="s">
        <v>65</v>
      </c>
    </row>
    <row r="336" spans="1:6" ht="15.75">
      <c r="A336" s="134"/>
      <c r="B336" s="666" t="s">
        <v>95</v>
      </c>
      <c r="C336" s="666"/>
      <c r="D336" s="666"/>
      <c r="E336" s="666"/>
      <c r="F336" s="666"/>
    </row>
    <row r="337" spans="1:6" ht="15.75">
      <c r="A337" s="135"/>
      <c r="B337" s="632" t="s">
        <v>66</v>
      </c>
      <c r="C337" s="632"/>
      <c r="D337" s="632"/>
      <c r="E337" s="632"/>
      <c r="F337" s="632"/>
    </row>
    <row r="338" spans="1:6" ht="15.75">
      <c r="A338" s="116" t="s">
        <v>67</v>
      </c>
      <c r="B338" s="136" t="s">
        <v>68</v>
      </c>
      <c r="C338" s="137" t="s">
        <v>69</v>
      </c>
      <c r="D338" s="138">
        <v>0.18</v>
      </c>
      <c r="E338" s="120">
        <v>10.7</v>
      </c>
      <c r="F338" s="139">
        <f>E338*D338</f>
        <v>1.93</v>
      </c>
    </row>
    <row r="339" spans="1:6" ht="15.75">
      <c r="A339" s="116" t="s">
        <v>70</v>
      </c>
      <c r="B339" s="136" t="s">
        <v>71</v>
      </c>
      <c r="C339" s="137" t="s">
        <v>69</v>
      </c>
      <c r="D339" s="138">
        <v>0.18</v>
      </c>
      <c r="E339" s="120">
        <v>8.4700000000000006</v>
      </c>
      <c r="F339" s="139">
        <f>E339*D339</f>
        <v>1.52</v>
      </c>
    </row>
    <row r="340" spans="1:6" ht="15.75">
      <c r="A340" s="631" t="s">
        <v>72</v>
      </c>
      <c r="B340" s="631"/>
      <c r="C340" s="631"/>
      <c r="D340" s="631"/>
      <c r="E340" s="631"/>
      <c r="F340" s="140">
        <f>SUM(F338:F339)</f>
        <v>3.45</v>
      </c>
    </row>
    <row r="341" spans="1:6" ht="15.75">
      <c r="A341" s="631" t="s">
        <v>73</v>
      </c>
      <c r="B341" s="631"/>
      <c r="C341" s="631"/>
      <c r="D341" s="631"/>
      <c r="E341" s="631"/>
      <c r="F341" s="140">
        <f>SUM(F340:F340)</f>
        <v>3.45</v>
      </c>
    </row>
    <row r="342" spans="1:6" ht="15.75">
      <c r="A342" s="214"/>
      <c r="B342" s="632" t="s">
        <v>74</v>
      </c>
      <c r="C342" s="632"/>
      <c r="D342" s="632"/>
      <c r="E342" s="632"/>
      <c r="F342" s="632"/>
    </row>
    <row r="343" spans="1:6" ht="15.75">
      <c r="A343" s="122" t="s">
        <v>96</v>
      </c>
      <c r="B343" s="136" t="s">
        <v>97</v>
      </c>
      <c r="C343" s="137" t="s">
        <v>18</v>
      </c>
      <c r="D343" s="138">
        <v>1</v>
      </c>
      <c r="E343" s="139">
        <v>3.12</v>
      </c>
      <c r="F343" s="139">
        <f>E343*D343</f>
        <v>3.12</v>
      </c>
    </row>
    <row r="344" spans="1:6" ht="35.25" customHeight="1">
      <c r="A344" s="116" t="s">
        <v>75</v>
      </c>
      <c r="B344" s="136" t="s">
        <v>76</v>
      </c>
      <c r="C344" s="137" t="s">
        <v>17</v>
      </c>
      <c r="D344" s="138">
        <v>0.31</v>
      </c>
      <c r="E344" s="139">
        <v>0.2</v>
      </c>
      <c r="F344" s="139">
        <f>E344*D344</f>
        <v>0.06</v>
      </c>
    </row>
    <row r="345" spans="1:6" ht="15.75">
      <c r="A345" s="116" t="s">
        <v>77</v>
      </c>
      <c r="B345" s="136" t="s">
        <v>78</v>
      </c>
      <c r="C345" s="137" t="s">
        <v>81</v>
      </c>
      <c r="D345" s="138">
        <v>1.2999999999999999E-3</v>
      </c>
      <c r="E345" s="139">
        <v>31.96</v>
      </c>
      <c r="F345" s="139">
        <f>E345*D345</f>
        <v>0.04</v>
      </c>
    </row>
    <row r="346" spans="1:6" ht="15.75">
      <c r="A346" s="116" t="s">
        <v>79</v>
      </c>
      <c r="B346" s="136" t="s">
        <v>80</v>
      </c>
      <c r="C346" s="137" t="s">
        <v>81</v>
      </c>
      <c r="D346" s="138">
        <v>3.0000000000000001E-3</v>
      </c>
      <c r="E346" s="139">
        <v>37.85</v>
      </c>
      <c r="F346" s="139">
        <f>E346*D346</f>
        <v>0.11</v>
      </c>
    </row>
    <row r="347" spans="1:6" ht="15.75">
      <c r="A347" s="631" t="s">
        <v>82</v>
      </c>
      <c r="B347" s="631"/>
      <c r="C347" s="631"/>
      <c r="D347" s="631"/>
      <c r="E347" s="631"/>
      <c r="F347" s="140">
        <f>SUM(F343:F346)</f>
        <v>3.33</v>
      </c>
    </row>
    <row r="348" spans="1:6" ht="15.75">
      <c r="A348" s="633" t="s">
        <v>83</v>
      </c>
      <c r="B348" s="633"/>
      <c r="C348" s="633"/>
      <c r="D348" s="633"/>
      <c r="E348" s="633"/>
      <c r="F348" s="140">
        <f>SUM(F341+F347)</f>
        <v>6.78</v>
      </c>
    </row>
    <row r="349" spans="1:6" ht="15.75">
      <c r="A349" s="633" t="s">
        <v>84</v>
      </c>
      <c r="B349" s="633"/>
      <c r="C349" s="633"/>
      <c r="D349" s="633"/>
      <c r="E349" s="633"/>
      <c r="F349" s="140">
        <f>F348</f>
        <v>6.78</v>
      </c>
    </row>
    <row r="350" spans="1:6" ht="15.75">
      <c r="A350" s="22" t="s">
        <v>2</v>
      </c>
      <c r="B350" s="22" t="s">
        <v>62</v>
      </c>
      <c r="C350" s="22" t="s">
        <v>4</v>
      </c>
      <c r="D350" s="22" t="s">
        <v>63</v>
      </c>
      <c r="E350" s="22" t="s">
        <v>64</v>
      </c>
      <c r="F350" s="22" t="s">
        <v>65</v>
      </c>
    </row>
    <row r="351" spans="1:6" ht="15.75">
      <c r="A351" s="114"/>
      <c r="B351" s="617" t="s">
        <v>98</v>
      </c>
      <c r="C351" s="617"/>
      <c r="D351" s="617"/>
      <c r="E351" s="617"/>
      <c r="F351" s="617"/>
    </row>
    <row r="352" spans="1:6" ht="15.75">
      <c r="A352" s="115"/>
      <c r="B352" s="629" t="s">
        <v>66</v>
      </c>
      <c r="C352" s="629"/>
      <c r="D352" s="629"/>
      <c r="E352" s="629"/>
      <c r="F352" s="629"/>
    </row>
    <row r="353" spans="1:6" ht="15.75">
      <c r="A353" s="116" t="s">
        <v>67</v>
      </c>
      <c r="B353" s="117" t="s">
        <v>68</v>
      </c>
      <c r="C353" s="118" t="s">
        <v>69</v>
      </c>
      <c r="D353" s="119">
        <v>0.18</v>
      </c>
      <c r="E353" s="120">
        <v>10.7</v>
      </c>
      <c r="F353" s="121">
        <f>E353*D353</f>
        <v>1.93</v>
      </c>
    </row>
    <row r="354" spans="1:6" ht="15.75">
      <c r="A354" s="116" t="s">
        <v>70</v>
      </c>
      <c r="B354" s="117" t="s">
        <v>71</v>
      </c>
      <c r="C354" s="118" t="s">
        <v>69</v>
      </c>
      <c r="D354" s="119">
        <v>0.18</v>
      </c>
      <c r="E354" s="120">
        <v>8.4700000000000006</v>
      </c>
      <c r="F354" s="121">
        <f>E354*D354</f>
        <v>1.52</v>
      </c>
    </row>
    <row r="355" spans="1:6" ht="15.75">
      <c r="A355" s="631" t="s">
        <v>72</v>
      </c>
      <c r="B355" s="631"/>
      <c r="C355" s="631"/>
      <c r="D355" s="631"/>
      <c r="E355" s="631"/>
      <c r="F355" s="123">
        <f>SUM(F353:F354)</f>
        <v>3.45</v>
      </c>
    </row>
    <row r="356" spans="1:6" ht="15.75">
      <c r="A356" s="631" t="s">
        <v>73</v>
      </c>
      <c r="B356" s="631"/>
      <c r="C356" s="631"/>
      <c r="D356" s="631"/>
      <c r="E356" s="631"/>
      <c r="F356" s="123">
        <f>SUM(F355:F355)</f>
        <v>3.45</v>
      </c>
    </row>
    <row r="357" spans="1:6" ht="15.75">
      <c r="A357" s="214"/>
      <c r="B357" s="629" t="s">
        <v>74</v>
      </c>
      <c r="C357" s="629"/>
      <c r="D357" s="629"/>
      <c r="E357" s="629"/>
      <c r="F357" s="629"/>
    </row>
    <row r="358" spans="1:6" ht="31.5">
      <c r="A358" s="116" t="s">
        <v>99</v>
      </c>
      <c r="B358" s="117" t="s">
        <v>100</v>
      </c>
      <c r="C358" s="118" t="s">
        <v>18</v>
      </c>
      <c r="D358" s="119">
        <v>1</v>
      </c>
      <c r="E358" s="121">
        <v>4.03</v>
      </c>
      <c r="F358" s="121">
        <f>E358*D358</f>
        <v>4.03</v>
      </c>
    </row>
    <row r="359" spans="1:6" ht="15.75">
      <c r="A359" s="116" t="s">
        <v>77</v>
      </c>
      <c r="B359" s="117" t="s">
        <v>78</v>
      </c>
      <c r="C359" s="118" t="s">
        <v>81</v>
      </c>
      <c r="D359" s="119">
        <v>3.5000000000000001E-3</v>
      </c>
      <c r="E359" s="139">
        <v>31.96</v>
      </c>
      <c r="F359" s="121">
        <f>E359*D359</f>
        <v>0.11</v>
      </c>
    </row>
    <row r="360" spans="1:6" ht="15.75">
      <c r="A360" s="116" t="s">
        <v>79</v>
      </c>
      <c r="B360" s="117" t="s">
        <v>80</v>
      </c>
      <c r="C360" s="118" t="s">
        <v>81</v>
      </c>
      <c r="D360" s="119">
        <v>7.0000000000000001E-3</v>
      </c>
      <c r="E360" s="139">
        <v>37.85</v>
      </c>
      <c r="F360" s="121">
        <f>E360*D360</f>
        <v>0.26</v>
      </c>
    </row>
    <row r="361" spans="1:6" ht="15.75">
      <c r="A361" s="631" t="s">
        <v>82</v>
      </c>
      <c r="B361" s="631"/>
      <c r="C361" s="631"/>
      <c r="D361" s="631"/>
      <c r="E361" s="631"/>
      <c r="F361" s="123">
        <f>SUM(F358:F360)</f>
        <v>4.4000000000000004</v>
      </c>
    </row>
    <row r="362" spans="1:6" ht="15.75">
      <c r="A362" s="622" t="s">
        <v>83</v>
      </c>
      <c r="B362" s="622"/>
      <c r="C362" s="622"/>
      <c r="D362" s="622"/>
      <c r="E362" s="622"/>
      <c r="F362" s="123">
        <f>SUM(F356+F361)</f>
        <v>7.85</v>
      </c>
    </row>
    <row r="363" spans="1:6" ht="16.5" thickBot="1">
      <c r="A363" s="622" t="s">
        <v>84</v>
      </c>
      <c r="B363" s="622"/>
      <c r="C363" s="622"/>
      <c r="D363" s="622"/>
      <c r="E363" s="622"/>
      <c r="F363" s="123">
        <f>F362</f>
        <v>7.85</v>
      </c>
    </row>
    <row r="364" spans="1:6" s="15" customFormat="1" ht="15.75">
      <c r="A364" s="68" t="s">
        <v>2</v>
      </c>
      <c r="B364" s="69" t="s">
        <v>62</v>
      </c>
      <c r="C364" s="69" t="s">
        <v>4</v>
      </c>
      <c r="D364" s="69" t="s">
        <v>63</v>
      </c>
      <c r="E364" s="69" t="s">
        <v>64</v>
      </c>
      <c r="F364" s="69" t="s">
        <v>65</v>
      </c>
    </row>
    <row r="365" spans="1:6" s="15" customFormat="1" ht="15.75">
      <c r="A365" s="193"/>
      <c r="B365" s="667" t="s">
        <v>250</v>
      </c>
      <c r="C365" s="667"/>
      <c r="D365" s="667"/>
      <c r="E365" s="667"/>
      <c r="F365" s="668"/>
    </row>
    <row r="366" spans="1:6" s="63" customFormat="1" ht="17.100000000000001" customHeight="1">
      <c r="A366" s="194"/>
      <c r="B366" s="618" t="s">
        <v>66</v>
      </c>
      <c r="C366" s="618"/>
      <c r="D366" s="618"/>
      <c r="E366" s="618"/>
      <c r="F366" s="619"/>
    </row>
    <row r="367" spans="1:6" s="63" customFormat="1" ht="17.100000000000001" customHeight="1">
      <c r="A367" s="116" t="s">
        <v>67</v>
      </c>
      <c r="B367" s="195" t="s">
        <v>68</v>
      </c>
      <c r="C367" s="196" t="s">
        <v>69</v>
      </c>
      <c r="D367" s="197">
        <v>0.18</v>
      </c>
      <c r="E367" s="120">
        <v>10.7</v>
      </c>
      <c r="F367" s="198">
        <f>E367*D367</f>
        <v>1.93</v>
      </c>
    </row>
    <row r="368" spans="1:6" s="63" customFormat="1" ht="17.100000000000001" customHeight="1">
      <c r="A368" s="116" t="s">
        <v>70</v>
      </c>
      <c r="B368" s="195" t="s">
        <v>71</v>
      </c>
      <c r="C368" s="196" t="s">
        <v>69</v>
      </c>
      <c r="D368" s="197">
        <v>0.18</v>
      </c>
      <c r="E368" s="120">
        <v>8.4700000000000006</v>
      </c>
      <c r="F368" s="198">
        <f>E368*D368</f>
        <v>1.52</v>
      </c>
    </row>
    <row r="369" spans="1:6" s="63" customFormat="1" ht="17.100000000000001" customHeight="1">
      <c r="A369" s="620" t="s">
        <v>72</v>
      </c>
      <c r="B369" s="614"/>
      <c r="C369" s="614"/>
      <c r="D369" s="614"/>
      <c r="E369" s="614"/>
      <c r="F369" s="199">
        <f>SUM(F367:F368)</f>
        <v>3.45</v>
      </c>
    </row>
    <row r="370" spans="1:6" s="63" customFormat="1" ht="17.100000000000001" customHeight="1">
      <c r="A370" s="620" t="s">
        <v>73</v>
      </c>
      <c r="B370" s="614"/>
      <c r="C370" s="614"/>
      <c r="D370" s="614"/>
      <c r="E370" s="614"/>
      <c r="F370" s="199">
        <f>SUM(F369:F369)</f>
        <v>3.45</v>
      </c>
    </row>
    <row r="371" spans="1:6" s="63" customFormat="1" ht="17.100000000000001" customHeight="1">
      <c r="A371" s="215"/>
      <c r="B371" s="618" t="s">
        <v>74</v>
      </c>
      <c r="C371" s="618"/>
      <c r="D371" s="618"/>
      <c r="E371" s="618"/>
      <c r="F371" s="619"/>
    </row>
    <row r="372" spans="1:6" s="63" customFormat="1" ht="17.100000000000001" customHeight="1">
      <c r="A372" s="116" t="s">
        <v>273</v>
      </c>
      <c r="B372" s="195" t="s">
        <v>251</v>
      </c>
      <c r="C372" s="196" t="s">
        <v>18</v>
      </c>
      <c r="D372" s="197">
        <v>1</v>
      </c>
      <c r="E372" s="201">
        <v>3.39</v>
      </c>
      <c r="F372" s="198">
        <f>E372*D372</f>
        <v>3.39</v>
      </c>
    </row>
    <row r="373" spans="1:6" s="63" customFormat="1" ht="17.100000000000001" customHeight="1">
      <c r="A373" s="116" t="s">
        <v>77</v>
      </c>
      <c r="B373" s="195" t="s">
        <v>78</v>
      </c>
      <c r="C373" s="196" t="s">
        <v>81</v>
      </c>
      <c r="D373" s="197">
        <v>3.5000000000000001E-3</v>
      </c>
      <c r="E373" s="139">
        <v>31.96</v>
      </c>
      <c r="F373" s="198">
        <f>E373*D373</f>
        <v>0.11</v>
      </c>
    </row>
    <row r="374" spans="1:6" s="63" customFormat="1" ht="15.75">
      <c r="A374" s="116" t="s">
        <v>79</v>
      </c>
      <c r="B374" s="195" t="s">
        <v>80</v>
      </c>
      <c r="C374" s="196" t="s">
        <v>81</v>
      </c>
      <c r="D374" s="197">
        <v>7.0000000000000001E-3</v>
      </c>
      <c r="E374" s="139">
        <v>37.85</v>
      </c>
      <c r="F374" s="198">
        <f>E374*D374</f>
        <v>0.26</v>
      </c>
    </row>
    <row r="375" spans="1:6" s="63" customFormat="1" ht="15.75">
      <c r="A375" s="620" t="s">
        <v>82</v>
      </c>
      <c r="B375" s="614"/>
      <c r="C375" s="614"/>
      <c r="D375" s="614"/>
      <c r="E375" s="614"/>
      <c r="F375" s="199">
        <f>SUM(F372:F374)</f>
        <v>3.76</v>
      </c>
    </row>
    <row r="376" spans="1:6" s="63" customFormat="1" ht="17.100000000000001" customHeight="1">
      <c r="A376" s="609" t="s">
        <v>83</v>
      </c>
      <c r="B376" s="610"/>
      <c r="C376" s="610"/>
      <c r="D376" s="610"/>
      <c r="E376" s="610"/>
      <c r="F376" s="199">
        <f>SUM(F370+F375)</f>
        <v>7.21</v>
      </c>
    </row>
    <row r="377" spans="1:6" s="63" customFormat="1" ht="17.100000000000001" customHeight="1">
      <c r="A377" s="609" t="s">
        <v>84</v>
      </c>
      <c r="B377" s="610"/>
      <c r="C377" s="610"/>
      <c r="D377" s="610"/>
      <c r="E377" s="610"/>
      <c r="F377" s="199">
        <f>F376</f>
        <v>7.21</v>
      </c>
    </row>
    <row r="378" spans="1:6" ht="15.75">
      <c r="A378" s="22" t="s">
        <v>2</v>
      </c>
      <c r="B378" s="22" t="s">
        <v>62</v>
      </c>
      <c r="C378" s="22" t="s">
        <v>4</v>
      </c>
      <c r="D378" s="22" t="s">
        <v>63</v>
      </c>
      <c r="E378" s="22" t="s">
        <v>64</v>
      </c>
      <c r="F378" s="22" t="s">
        <v>65</v>
      </c>
    </row>
    <row r="379" spans="1:6" ht="15.75">
      <c r="A379" s="42" t="s">
        <v>49</v>
      </c>
      <c r="B379" s="677" t="s">
        <v>229</v>
      </c>
      <c r="C379" s="677"/>
      <c r="D379" s="677"/>
      <c r="E379" s="677"/>
      <c r="F379" s="677"/>
    </row>
    <row r="380" spans="1:6" ht="15.75">
      <c r="A380" s="43"/>
      <c r="B380" s="650" t="s">
        <v>66</v>
      </c>
      <c r="C380" s="650"/>
      <c r="D380" s="650"/>
      <c r="E380" s="650"/>
      <c r="F380" s="650"/>
    </row>
    <row r="381" spans="1:6" ht="15.75">
      <c r="A381" s="25" t="s">
        <v>67</v>
      </c>
      <c r="B381" s="44" t="s">
        <v>68</v>
      </c>
      <c r="C381" s="45" t="s">
        <v>69</v>
      </c>
      <c r="D381" s="46">
        <v>0.09</v>
      </c>
      <c r="E381" s="47">
        <v>9.82</v>
      </c>
      <c r="F381" s="47">
        <f>E381*D381</f>
        <v>0.88</v>
      </c>
    </row>
    <row r="382" spans="1:6" ht="15.75">
      <c r="A382" s="25" t="s">
        <v>70</v>
      </c>
      <c r="B382" s="44" t="s">
        <v>71</v>
      </c>
      <c r="C382" s="45" t="s">
        <v>69</v>
      </c>
      <c r="D382" s="46">
        <v>0.09</v>
      </c>
      <c r="E382" s="47">
        <v>7.77</v>
      </c>
      <c r="F382" s="47">
        <f>E382*D382</f>
        <v>0.7</v>
      </c>
    </row>
    <row r="383" spans="1:6" ht="15.75">
      <c r="A383" s="634" t="s">
        <v>72</v>
      </c>
      <c r="B383" s="634"/>
      <c r="C383" s="634"/>
      <c r="D383" s="634"/>
      <c r="E383" s="634"/>
      <c r="F383" s="48">
        <f>SUM(F381:F382)</f>
        <v>1.58</v>
      </c>
    </row>
    <row r="384" spans="1:6" ht="15.75">
      <c r="A384" s="634" t="s">
        <v>73</v>
      </c>
      <c r="B384" s="634"/>
      <c r="C384" s="634"/>
      <c r="D384" s="634"/>
      <c r="E384" s="634"/>
      <c r="F384" s="48">
        <f>SUM(F383:F383)</f>
        <v>1.58</v>
      </c>
    </row>
    <row r="385" spans="1:6" ht="15.75">
      <c r="A385" s="32"/>
      <c r="B385" s="650" t="s">
        <v>74</v>
      </c>
      <c r="C385" s="650"/>
      <c r="D385" s="650"/>
      <c r="E385" s="650"/>
      <c r="F385" s="650"/>
    </row>
    <row r="386" spans="1:6" ht="31.5">
      <c r="A386" s="51" t="s">
        <v>231</v>
      </c>
      <c r="B386" s="49" t="s">
        <v>230</v>
      </c>
      <c r="C386" s="45" t="s">
        <v>18</v>
      </c>
      <c r="D386" s="46">
        <v>1</v>
      </c>
      <c r="E386" s="47">
        <v>2.0099999999999998</v>
      </c>
      <c r="F386" s="47">
        <f>E386*D386</f>
        <v>2.0099999999999998</v>
      </c>
    </row>
    <row r="387" spans="1:6" ht="15.75">
      <c r="A387" s="25" t="s">
        <v>79</v>
      </c>
      <c r="B387" s="44" t="s">
        <v>80</v>
      </c>
      <c r="C387" s="45" t="s">
        <v>81</v>
      </c>
      <c r="D387" s="46">
        <v>7.0000000000000001E-3</v>
      </c>
      <c r="E387" s="29">
        <v>34.92</v>
      </c>
      <c r="F387" s="47">
        <f>E387*D387</f>
        <v>0.24</v>
      </c>
    </row>
    <row r="388" spans="1:6" ht="15.75">
      <c r="A388" s="25" t="s">
        <v>77</v>
      </c>
      <c r="B388" s="44" t="s">
        <v>78</v>
      </c>
      <c r="C388" s="45" t="s">
        <v>81</v>
      </c>
      <c r="D388" s="46">
        <v>3.5000000000000001E-3</v>
      </c>
      <c r="E388" s="36">
        <v>35.159999999999997</v>
      </c>
      <c r="F388" s="47">
        <f>E388*D388</f>
        <v>0.12</v>
      </c>
    </row>
    <row r="389" spans="1:6" ht="15.75">
      <c r="A389" s="634" t="s">
        <v>82</v>
      </c>
      <c r="B389" s="634"/>
      <c r="C389" s="634"/>
      <c r="D389" s="634"/>
      <c r="E389" s="634"/>
      <c r="F389" s="48">
        <f>SUM(F386:F388)</f>
        <v>2.37</v>
      </c>
    </row>
    <row r="390" spans="1:6" ht="15.75">
      <c r="A390" s="676" t="s">
        <v>83</v>
      </c>
      <c r="B390" s="676"/>
      <c r="C390" s="676"/>
      <c r="D390" s="676"/>
      <c r="E390" s="676"/>
      <c r="F390" s="48">
        <f>SUM(F384+F389)</f>
        <v>3.95</v>
      </c>
    </row>
    <row r="391" spans="1:6" ht="15.75">
      <c r="A391" s="676" t="s">
        <v>84</v>
      </c>
      <c r="B391" s="676"/>
      <c r="C391" s="676"/>
      <c r="D391" s="676"/>
      <c r="E391" s="676"/>
      <c r="F391" s="48">
        <f>F390</f>
        <v>3.95</v>
      </c>
    </row>
    <row r="392" spans="1:6" ht="15.75">
      <c r="A392" s="22" t="s">
        <v>2</v>
      </c>
      <c r="B392" s="22" t="s">
        <v>62</v>
      </c>
      <c r="C392" s="22" t="s">
        <v>4</v>
      </c>
      <c r="D392" s="22" t="s">
        <v>63</v>
      </c>
      <c r="E392" s="22" t="s">
        <v>64</v>
      </c>
      <c r="F392" s="22" t="s">
        <v>65</v>
      </c>
    </row>
    <row r="393" spans="1:6" ht="15.75" customHeight="1">
      <c r="A393" s="42" t="s">
        <v>55</v>
      </c>
      <c r="B393" s="647" t="s">
        <v>101</v>
      </c>
      <c r="C393" s="648"/>
      <c r="D393" s="648"/>
      <c r="E393" s="648"/>
      <c r="F393" s="649"/>
    </row>
    <row r="394" spans="1:6" ht="15.75">
      <c r="A394" s="43"/>
      <c r="B394" s="644" t="s">
        <v>66</v>
      </c>
      <c r="C394" s="645"/>
      <c r="D394" s="645"/>
      <c r="E394" s="645"/>
      <c r="F394" s="646"/>
    </row>
    <row r="395" spans="1:6" ht="15.75">
      <c r="A395" s="25" t="s">
        <v>67</v>
      </c>
      <c r="B395" s="44" t="s">
        <v>68</v>
      </c>
      <c r="C395" s="45" t="s">
        <v>69</v>
      </c>
      <c r="D395" s="46">
        <v>0.3</v>
      </c>
      <c r="E395" s="47">
        <v>9.82</v>
      </c>
      <c r="F395" s="47">
        <f>E395*D395</f>
        <v>2.95</v>
      </c>
    </row>
    <row r="396" spans="1:6" ht="15.75">
      <c r="A396" s="25" t="s">
        <v>70</v>
      </c>
      <c r="B396" s="44" t="s">
        <v>71</v>
      </c>
      <c r="C396" s="45" t="s">
        <v>69</v>
      </c>
      <c r="D396" s="46">
        <v>0.3</v>
      </c>
      <c r="E396" s="47">
        <v>7.77</v>
      </c>
      <c r="F396" s="47">
        <f>E396*D396</f>
        <v>2.33</v>
      </c>
    </row>
    <row r="397" spans="1:6" ht="15.75">
      <c r="A397" s="641" t="s">
        <v>72</v>
      </c>
      <c r="B397" s="642"/>
      <c r="C397" s="642"/>
      <c r="D397" s="642"/>
      <c r="E397" s="643"/>
      <c r="F397" s="48">
        <f>SUM(F395:F396)</f>
        <v>5.28</v>
      </c>
    </row>
    <row r="398" spans="1:6" ht="15.75">
      <c r="A398" s="641" t="s">
        <v>73</v>
      </c>
      <c r="B398" s="642"/>
      <c r="C398" s="642"/>
      <c r="D398" s="642"/>
      <c r="E398" s="643"/>
      <c r="F398" s="48">
        <f>SUM(F397:F397)</f>
        <v>5.28</v>
      </c>
    </row>
    <row r="399" spans="1:6" ht="15.75">
      <c r="A399" s="32"/>
      <c r="B399" s="644" t="s">
        <v>74</v>
      </c>
      <c r="C399" s="645"/>
      <c r="D399" s="645"/>
      <c r="E399" s="645"/>
      <c r="F399" s="646"/>
    </row>
    <row r="400" spans="1:6" ht="15.75">
      <c r="A400" s="41" t="s">
        <v>102</v>
      </c>
      <c r="B400" s="44" t="s">
        <v>103</v>
      </c>
      <c r="C400" s="45" t="s">
        <v>18</v>
      </c>
      <c r="D400" s="46">
        <v>1</v>
      </c>
      <c r="E400" s="47">
        <v>6.19</v>
      </c>
      <c r="F400" s="47">
        <f>E400*D400</f>
        <v>6.19</v>
      </c>
    </row>
    <row r="401" spans="1:6" ht="15.75">
      <c r="A401" s="25" t="s">
        <v>77</v>
      </c>
      <c r="B401" s="44" t="s">
        <v>78</v>
      </c>
      <c r="C401" s="45" t="s">
        <v>81</v>
      </c>
      <c r="D401" s="46">
        <v>1.32E-2</v>
      </c>
      <c r="E401" s="29">
        <v>34.92</v>
      </c>
      <c r="F401" s="47">
        <f>E401*D401</f>
        <v>0.46</v>
      </c>
    </row>
    <row r="402" spans="1:6" ht="15.75">
      <c r="A402" s="25" t="s">
        <v>79</v>
      </c>
      <c r="B402" s="44" t="s">
        <v>80</v>
      </c>
      <c r="C402" s="45" t="s">
        <v>81</v>
      </c>
      <c r="D402" s="46">
        <v>6.0000000000000001E-3</v>
      </c>
      <c r="E402" s="36">
        <v>35.159999999999997</v>
      </c>
      <c r="F402" s="47">
        <f>E402*D402</f>
        <v>0.21</v>
      </c>
    </row>
    <row r="403" spans="1:6" ht="15.75">
      <c r="A403" s="641" t="s">
        <v>82</v>
      </c>
      <c r="B403" s="642"/>
      <c r="C403" s="642"/>
      <c r="D403" s="642"/>
      <c r="E403" s="643"/>
      <c r="F403" s="48">
        <f>SUM(F400:F402)</f>
        <v>6.86</v>
      </c>
    </row>
    <row r="404" spans="1:6" ht="15.75">
      <c r="A404" s="710" t="s">
        <v>83</v>
      </c>
      <c r="B404" s="711"/>
      <c r="C404" s="711"/>
      <c r="D404" s="711"/>
      <c r="E404" s="712"/>
      <c r="F404" s="48">
        <f>SUM(F398+F403)</f>
        <v>12.14</v>
      </c>
    </row>
    <row r="405" spans="1:6" ht="16.5" thickBot="1">
      <c r="A405" s="710" t="s">
        <v>84</v>
      </c>
      <c r="B405" s="711"/>
      <c r="C405" s="711"/>
      <c r="D405" s="711"/>
      <c r="E405" s="712"/>
      <c r="F405" s="48">
        <f>F404</f>
        <v>12.14</v>
      </c>
    </row>
    <row r="406" spans="1:6" s="15" customFormat="1" ht="15.75">
      <c r="A406" s="68" t="s">
        <v>2</v>
      </c>
      <c r="B406" s="69" t="s">
        <v>62</v>
      </c>
      <c r="C406" s="69" t="s">
        <v>4</v>
      </c>
      <c r="D406" s="69" t="s">
        <v>63</v>
      </c>
      <c r="E406" s="69" t="s">
        <v>64</v>
      </c>
      <c r="F406" s="69" t="s">
        <v>65</v>
      </c>
    </row>
    <row r="407" spans="1:6" s="15" customFormat="1" ht="15.75">
      <c r="A407" s="90" t="s">
        <v>25</v>
      </c>
      <c r="B407" s="704" t="s">
        <v>252</v>
      </c>
      <c r="C407" s="704"/>
      <c r="D407" s="704"/>
      <c r="E407" s="704"/>
      <c r="F407" s="705"/>
    </row>
    <row r="408" spans="1:6" s="15" customFormat="1" ht="15.75">
      <c r="A408" s="91"/>
      <c r="B408" s="706" t="s">
        <v>66</v>
      </c>
      <c r="C408" s="706"/>
      <c r="D408" s="706"/>
      <c r="E408" s="706"/>
      <c r="F408" s="707"/>
    </row>
    <row r="409" spans="1:6" s="15" customFormat="1" ht="15.75">
      <c r="A409" s="25" t="s">
        <v>67</v>
      </c>
      <c r="B409" s="92" t="s">
        <v>68</v>
      </c>
      <c r="C409" s="93" t="s">
        <v>69</v>
      </c>
      <c r="D409" s="94">
        <v>0.19</v>
      </c>
      <c r="E409" s="47">
        <v>9.82</v>
      </c>
      <c r="F409" s="96">
        <f>E409*D409</f>
        <v>1.87</v>
      </c>
    </row>
    <row r="410" spans="1:6" s="15" customFormat="1" ht="15.75">
      <c r="A410" s="25" t="s">
        <v>70</v>
      </c>
      <c r="B410" s="92" t="s">
        <v>71</v>
      </c>
      <c r="C410" s="93" t="s">
        <v>69</v>
      </c>
      <c r="D410" s="94">
        <v>0.19</v>
      </c>
      <c r="E410" s="47">
        <v>7.77</v>
      </c>
      <c r="F410" s="96">
        <f>E410*D410</f>
        <v>1.48</v>
      </c>
    </row>
    <row r="411" spans="1:6" s="15" customFormat="1" ht="15.75">
      <c r="A411" s="708" t="s">
        <v>72</v>
      </c>
      <c r="B411" s="709"/>
      <c r="C411" s="709"/>
      <c r="D411" s="709"/>
      <c r="E411" s="709"/>
      <c r="F411" s="97">
        <f>SUM(F409:F410)</f>
        <v>3.35</v>
      </c>
    </row>
    <row r="412" spans="1:6" s="15" customFormat="1" ht="15.75">
      <c r="A412" s="708" t="s">
        <v>73</v>
      </c>
      <c r="B412" s="709"/>
      <c r="C412" s="709"/>
      <c r="D412" s="709"/>
      <c r="E412" s="709"/>
      <c r="F412" s="97">
        <f>SUM(F411:F411)</f>
        <v>3.35</v>
      </c>
    </row>
    <row r="413" spans="1:6" s="15" customFormat="1" ht="15.75">
      <c r="A413" s="61"/>
      <c r="B413" s="706" t="s">
        <v>74</v>
      </c>
      <c r="C413" s="706"/>
      <c r="D413" s="706"/>
      <c r="E413" s="706"/>
      <c r="F413" s="707"/>
    </row>
    <row r="414" spans="1:6" s="15" customFormat="1" ht="15.75">
      <c r="A414" s="25" t="s">
        <v>275</v>
      </c>
      <c r="B414" s="92" t="s">
        <v>274</v>
      </c>
      <c r="C414" s="93" t="s">
        <v>18</v>
      </c>
      <c r="D414" s="94">
        <v>1</v>
      </c>
      <c r="E414" s="95">
        <v>7.7</v>
      </c>
      <c r="F414" s="96">
        <f>E414*D414</f>
        <v>7.7</v>
      </c>
    </row>
    <row r="415" spans="1:6" s="15" customFormat="1" ht="15.75">
      <c r="A415" s="25" t="s">
        <v>77</v>
      </c>
      <c r="B415" s="92" t="s">
        <v>78</v>
      </c>
      <c r="C415" s="93" t="s">
        <v>81</v>
      </c>
      <c r="D415" s="94">
        <v>4.4000000000000003E-3</v>
      </c>
      <c r="E415" s="29">
        <v>34.92</v>
      </c>
      <c r="F415" s="96">
        <f>E415*D415</f>
        <v>0.15</v>
      </c>
    </row>
    <row r="416" spans="1:6" s="15" customFormat="1" ht="15.75">
      <c r="A416" s="25" t="s">
        <v>75</v>
      </c>
      <c r="B416" s="64" t="s">
        <v>253</v>
      </c>
      <c r="C416" s="65" t="s">
        <v>17</v>
      </c>
      <c r="D416" s="94">
        <v>0.31</v>
      </c>
      <c r="E416" s="67">
        <v>0.19</v>
      </c>
      <c r="F416" s="66">
        <f>E416*D416</f>
        <v>0.06</v>
      </c>
    </row>
    <row r="417" spans="1:6" s="15" customFormat="1" ht="15.75">
      <c r="A417" s="708" t="s">
        <v>82</v>
      </c>
      <c r="B417" s="709"/>
      <c r="C417" s="709"/>
      <c r="D417" s="709"/>
      <c r="E417" s="709"/>
      <c r="F417" s="97">
        <f>SUM(F414:F416)</f>
        <v>7.91</v>
      </c>
    </row>
    <row r="418" spans="1:6" s="15" customFormat="1" ht="15.75">
      <c r="A418" s="627" t="s">
        <v>83</v>
      </c>
      <c r="B418" s="628"/>
      <c r="C418" s="628"/>
      <c r="D418" s="628"/>
      <c r="E418" s="628"/>
      <c r="F418" s="97">
        <f>SUM(F412+F417)</f>
        <v>11.26</v>
      </c>
    </row>
    <row r="419" spans="1:6" s="15" customFormat="1" ht="16.5" thickBot="1">
      <c r="A419" s="627" t="s">
        <v>84</v>
      </c>
      <c r="B419" s="628"/>
      <c r="C419" s="628"/>
      <c r="D419" s="628"/>
      <c r="E419" s="628"/>
      <c r="F419" s="97">
        <f>F418</f>
        <v>11.26</v>
      </c>
    </row>
    <row r="420" spans="1:6" s="57" customFormat="1" ht="15.75">
      <c r="A420" s="68" t="s">
        <v>2</v>
      </c>
      <c r="B420" s="69" t="s">
        <v>62</v>
      </c>
      <c r="C420" s="69" t="s">
        <v>4</v>
      </c>
      <c r="D420" s="69" t="s">
        <v>63</v>
      </c>
      <c r="E420" s="69" t="s">
        <v>64</v>
      </c>
      <c r="F420" s="69" t="s">
        <v>65</v>
      </c>
    </row>
    <row r="421" spans="1:6" ht="15.75">
      <c r="A421" s="180"/>
      <c r="B421" s="665" t="s">
        <v>254</v>
      </c>
      <c r="C421" s="665"/>
      <c r="D421" s="665"/>
      <c r="E421" s="665"/>
      <c r="F421" s="703"/>
    </row>
    <row r="422" spans="1:6" ht="15.75">
      <c r="A422" s="227"/>
      <c r="B422" s="640" t="s">
        <v>66</v>
      </c>
      <c r="C422" s="640"/>
      <c r="D422" s="640"/>
      <c r="E422" s="640"/>
      <c r="F422" s="674"/>
    </row>
    <row r="423" spans="1:6" ht="15.75">
      <c r="A423" s="116" t="s">
        <v>67</v>
      </c>
      <c r="B423" s="152" t="s">
        <v>68</v>
      </c>
      <c r="C423" s="153" t="s">
        <v>69</v>
      </c>
      <c r="D423" s="154">
        <v>7.7</v>
      </c>
      <c r="E423" s="120">
        <v>10.7</v>
      </c>
      <c r="F423" s="228">
        <f>E423*D423</f>
        <v>82.39</v>
      </c>
    </row>
    <row r="424" spans="1:6" ht="15.75">
      <c r="A424" s="116" t="s">
        <v>70</v>
      </c>
      <c r="B424" s="152" t="s">
        <v>71</v>
      </c>
      <c r="C424" s="153" t="s">
        <v>69</v>
      </c>
      <c r="D424" s="154">
        <v>7.7</v>
      </c>
      <c r="E424" s="120">
        <v>8.4700000000000006</v>
      </c>
      <c r="F424" s="228">
        <f>E424*D424</f>
        <v>65.22</v>
      </c>
    </row>
    <row r="425" spans="1:6" ht="15.75">
      <c r="A425" s="675" t="s">
        <v>72</v>
      </c>
      <c r="B425" s="631"/>
      <c r="C425" s="631"/>
      <c r="D425" s="631"/>
      <c r="E425" s="631"/>
      <c r="F425" s="229">
        <f>SUM(F423:F424)</f>
        <v>147.61000000000001</v>
      </c>
    </row>
    <row r="426" spans="1:6" ht="15.75">
      <c r="A426" s="675" t="s">
        <v>73</v>
      </c>
      <c r="B426" s="631"/>
      <c r="C426" s="631"/>
      <c r="D426" s="631"/>
      <c r="E426" s="631"/>
      <c r="F426" s="229">
        <f>SUM(F425:F425)</f>
        <v>147.61000000000001</v>
      </c>
    </row>
    <row r="427" spans="1:6" ht="15.75">
      <c r="A427" s="230"/>
      <c r="B427" s="640" t="s">
        <v>74</v>
      </c>
      <c r="C427" s="640"/>
      <c r="D427" s="640"/>
      <c r="E427" s="640"/>
      <c r="F427" s="674"/>
    </row>
    <row r="428" spans="1:6" ht="15.75">
      <c r="A428" s="116" t="s">
        <v>201</v>
      </c>
      <c r="B428" s="231" t="s">
        <v>255</v>
      </c>
      <c r="C428" s="153" t="s">
        <v>256</v>
      </c>
      <c r="D428" s="154">
        <v>0.1</v>
      </c>
      <c r="E428" s="120">
        <v>3.1</v>
      </c>
      <c r="F428" s="228">
        <f>E428*D428</f>
        <v>0.31</v>
      </c>
    </row>
    <row r="429" spans="1:6" ht="31.5">
      <c r="A429" s="186" t="s">
        <v>393</v>
      </c>
      <c r="B429" s="237" t="s">
        <v>394</v>
      </c>
      <c r="C429" s="153" t="s">
        <v>258</v>
      </c>
      <c r="D429" s="154">
        <v>2</v>
      </c>
      <c r="E429" s="120">
        <v>9.0399999999999991</v>
      </c>
      <c r="F429" s="228">
        <f>E429*D429</f>
        <v>18.079999999999998</v>
      </c>
    </row>
    <row r="430" spans="1:6" ht="31.5">
      <c r="A430" s="186" t="s">
        <v>395</v>
      </c>
      <c r="B430" s="237" t="s">
        <v>396</v>
      </c>
      <c r="C430" s="153" t="s">
        <v>258</v>
      </c>
      <c r="D430" s="154">
        <v>2</v>
      </c>
      <c r="E430" s="120">
        <v>10.85</v>
      </c>
      <c r="F430" s="228">
        <f>E430*D430</f>
        <v>21.7</v>
      </c>
    </row>
    <row r="431" spans="1:6" ht="15.75">
      <c r="A431" s="116" t="s">
        <v>75</v>
      </c>
      <c r="B431" s="152" t="s">
        <v>76</v>
      </c>
      <c r="C431" s="153" t="s">
        <v>17</v>
      </c>
      <c r="D431" s="154">
        <v>3.03</v>
      </c>
      <c r="E431" s="120">
        <v>0.2</v>
      </c>
      <c r="F431" s="228">
        <f>E431*D431</f>
        <v>0.61</v>
      </c>
    </row>
    <row r="432" spans="1:6" ht="15.75">
      <c r="A432" s="227"/>
      <c r="B432" s="152" t="s">
        <v>257</v>
      </c>
      <c r="C432" s="153" t="s">
        <v>258</v>
      </c>
      <c r="D432" s="154">
        <v>1</v>
      </c>
      <c r="E432" s="120">
        <v>507</v>
      </c>
      <c r="F432" s="228">
        <f>E432*D432</f>
        <v>507</v>
      </c>
    </row>
    <row r="433" spans="1:6" ht="15.75" customHeight="1">
      <c r="A433" s="675" t="s">
        <v>82</v>
      </c>
      <c r="B433" s="631"/>
      <c r="C433" s="631"/>
      <c r="D433" s="631"/>
      <c r="E433" s="631"/>
      <c r="F433" s="229">
        <f>SUM(F428:F432)</f>
        <v>547.70000000000005</v>
      </c>
    </row>
    <row r="434" spans="1:6" s="15" customFormat="1" ht="15.75">
      <c r="A434" s="713" t="s">
        <v>83</v>
      </c>
      <c r="B434" s="635"/>
      <c r="C434" s="635"/>
      <c r="D434" s="635"/>
      <c r="E434" s="635"/>
      <c r="F434" s="229">
        <f>SUM(F426+F433)</f>
        <v>695.31</v>
      </c>
    </row>
    <row r="435" spans="1:6" s="15" customFormat="1" ht="15.75">
      <c r="A435" s="713" t="s">
        <v>84</v>
      </c>
      <c r="B435" s="635"/>
      <c r="C435" s="635"/>
      <c r="D435" s="635"/>
      <c r="E435" s="635"/>
      <c r="F435" s="229">
        <f>F434</f>
        <v>695.31</v>
      </c>
    </row>
    <row r="436" spans="1:6" ht="15.75">
      <c r="A436" s="656" t="s">
        <v>108</v>
      </c>
      <c r="B436" s="656"/>
      <c r="C436" s="656"/>
      <c r="D436" s="656"/>
      <c r="E436" s="656"/>
      <c r="F436" s="656"/>
    </row>
    <row r="437" spans="1:6" s="63" customFormat="1" ht="17.100000000000001" customHeight="1">
      <c r="A437" s="22" t="s">
        <v>2</v>
      </c>
      <c r="B437" s="22" t="s">
        <v>62</v>
      </c>
      <c r="C437" s="22" t="s">
        <v>4</v>
      </c>
      <c r="D437" s="22" t="s">
        <v>63</v>
      </c>
      <c r="E437" s="22" t="s">
        <v>64</v>
      </c>
      <c r="F437" s="22" t="s">
        <v>65</v>
      </c>
    </row>
    <row r="438" spans="1:6" s="63" customFormat="1" ht="17.100000000000001" customHeight="1">
      <c r="A438" s="180"/>
      <c r="B438" s="714" t="s">
        <v>232</v>
      </c>
      <c r="C438" s="714"/>
      <c r="D438" s="714"/>
      <c r="E438" s="714"/>
      <c r="F438" s="715"/>
    </row>
    <row r="439" spans="1:6" s="63" customFormat="1" ht="17.100000000000001" customHeight="1">
      <c r="A439" s="181"/>
      <c r="B439" s="611" t="s">
        <v>66</v>
      </c>
      <c r="C439" s="611"/>
      <c r="D439" s="611"/>
      <c r="E439" s="611"/>
      <c r="F439" s="612"/>
    </row>
    <row r="440" spans="1:6" s="63" customFormat="1" ht="17.100000000000001" customHeight="1">
      <c r="A440" s="116" t="s">
        <v>67</v>
      </c>
      <c r="B440" s="160" t="s">
        <v>68</v>
      </c>
      <c r="C440" s="182" t="s">
        <v>69</v>
      </c>
      <c r="D440" s="162">
        <v>0.4</v>
      </c>
      <c r="E440" s="120">
        <v>10.7</v>
      </c>
      <c r="F440" s="164">
        <f>D440*E440</f>
        <v>4.28</v>
      </c>
    </row>
    <row r="441" spans="1:6" s="63" customFormat="1" ht="17.100000000000001" customHeight="1">
      <c r="A441" s="116" t="s">
        <v>70</v>
      </c>
      <c r="B441" s="160" t="s">
        <v>71</v>
      </c>
      <c r="C441" s="182" t="s">
        <v>69</v>
      </c>
      <c r="D441" s="162">
        <v>0.4</v>
      </c>
      <c r="E441" s="120">
        <v>8.4700000000000006</v>
      </c>
      <c r="F441" s="164">
        <f>D441*E441</f>
        <v>3.39</v>
      </c>
    </row>
    <row r="442" spans="1:6" s="63" customFormat="1" ht="17.100000000000001" customHeight="1">
      <c r="A442" s="659" t="s">
        <v>72</v>
      </c>
      <c r="B442" s="659"/>
      <c r="C442" s="659"/>
      <c r="D442" s="659"/>
      <c r="E442" s="620"/>
      <c r="F442" s="165">
        <f>SUM(F440:F441)</f>
        <v>7.67</v>
      </c>
    </row>
    <row r="443" spans="1:6" s="63" customFormat="1" ht="17.100000000000001" customHeight="1">
      <c r="A443" s="659" t="s">
        <v>73</v>
      </c>
      <c r="B443" s="659"/>
      <c r="C443" s="659"/>
      <c r="D443" s="659"/>
      <c r="E443" s="620"/>
      <c r="F443" s="165">
        <f>SUM(F442:F442)</f>
        <v>7.67</v>
      </c>
    </row>
    <row r="444" spans="1:6" s="63" customFormat="1" ht="17.100000000000001" customHeight="1">
      <c r="A444" s="183"/>
      <c r="B444" s="611" t="s">
        <v>74</v>
      </c>
      <c r="C444" s="611"/>
      <c r="D444" s="611"/>
      <c r="E444" s="611"/>
      <c r="F444" s="612"/>
    </row>
    <row r="445" spans="1:6" s="63" customFormat="1" ht="17.100000000000001" customHeight="1">
      <c r="A445" s="181" t="s">
        <v>233</v>
      </c>
      <c r="B445" s="160" t="s">
        <v>234</v>
      </c>
      <c r="C445" s="182" t="s">
        <v>18</v>
      </c>
      <c r="D445" s="162">
        <v>1</v>
      </c>
      <c r="E445" s="163">
        <v>22.02</v>
      </c>
      <c r="F445" s="164">
        <f>D445*E445</f>
        <v>22.02</v>
      </c>
    </row>
    <row r="446" spans="1:6" s="63" customFormat="1" ht="15.75">
      <c r="A446" s="116" t="s">
        <v>77</v>
      </c>
      <c r="B446" s="160" t="s">
        <v>78</v>
      </c>
      <c r="C446" s="161" t="s">
        <v>14</v>
      </c>
      <c r="D446" s="162">
        <v>0.01</v>
      </c>
      <c r="E446" s="139">
        <v>31.96</v>
      </c>
      <c r="F446" s="164">
        <f>D446*E446</f>
        <v>0.32</v>
      </c>
    </row>
    <row r="447" spans="1:6" s="63" customFormat="1" ht="17.100000000000001" customHeight="1">
      <c r="A447" s="116" t="s">
        <v>79</v>
      </c>
      <c r="B447" s="160" t="s">
        <v>80</v>
      </c>
      <c r="C447" s="182" t="s">
        <v>81</v>
      </c>
      <c r="D447" s="162">
        <v>1.6E-2</v>
      </c>
      <c r="E447" s="139">
        <v>37.85</v>
      </c>
      <c r="F447" s="164">
        <f>D447*E447</f>
        <v>0.61</v>
      </c>
    </row>
    <row r="448" spans="1:6" s="63" customFormat="1" ht="17.100000000000001" customHeight="1">
      <c r="A448" s="659" t="s">
        <v>82</v>
      </c>
      <c r="B448" s="659"/>
      <c r="C448" s="659"/>
      <c r="D448" s="659"/>
      <c r="E448" s="620"/>
      <c r="F448" s="165">
        <f>SUM(F445:F447)</f>
        <v>22.95</v>
      </c>
    </row>
    <row r="449" spans="1:6" s="63" customFormat="1" ht="17.100000000000001" customHeight="1">
      <c r="A449" s="716" t="s">
        <v>83</v>
      </c>
      <c r="B449" s="716"/>
      <c r="C449" s="716"/>
      <c r="D449" s="716"/>
      <c r="E449" s="623"/>
      <c r="F449" s="165">
        <f>SUM(F443+F448)</f>
        <v>30.62</v>
      </c>
    </row>
    <row r="450" spans="1:6" s="63" customFormat="1" ht="17.100000000000001" customHeight="1" thickBot="1">
      <c r="A450" s="717" t="s">
        <v>84</v>
      </c>
      <c r="B450" s="717"/>
      <c r="C450" s="717"/>
      <c r="D450" s="717"/>
      <c r="E450" s="718"/>
      <c r="F450" s="165">
        <f>F449</f>
        <v>30.62</v>
      </c>
    </row>
    <row r="451" spans="1:6" ht="15.75">
      <c r="A451" s="22" t="s">
        <v>2</v>
      </c>
      <c r="B451" s="22" t="s">
        <v>62</v>
      </c>
      <c r="C451" s="22" t="s">
        <v>4</v>
      </c>
      <c r="D451" s="22" t="s">
        <v>63</v>
      </c>
      <c r="E451" s="22" t="s">
        <v>64</v>
      </c>
      <c r="F451" s="22" t="s">
        <v>65</v>
      </c>
    </row>
    <row r="452" spans="1:6" ht="15.75">
      <c r="A452" s="114"/>
      <c r="B452" s="617" t="s">
        <v>314</v>
      </c>
      <c r="C452" s="617"/>
      <c r="D452" s="617"/>
      <c r="E452" s="617"/>
      <c r="F452" s="617"/>
    </row>
    <row r="453" spans="1:6" ht="15.75">
      <c r="A453" s="115"/>
      <c r="B453" s="629" t="s">
        <v>66</v>
      </c>
      <c r="C453" s="629"/>
      <c r="D453" s="629"/>
      <c r="E453" s="629"/>
      <c r="F453" s="629"/>
    </row>
    <row r="454" spans="1:6" ht="15.75">
      <c r="A454" s="116" t="s">
        <v>67</v>
      </c>
      <c r="B454" s="117" t="s">
        <v>68</v>
      </c>
      <c r="C454" s="118" t="s">
        <v>69</v>
      </c>
      <c r="D454" s="119">
        <v>0.28000000000000003</v>
      </c>
      <c r="E454" s="120">
        <v>10.7</v>
      </c>
      <c r="F454" s="121">
        <f>E454*D454</f>
        <v>3</v>
      </c>
    </row>
    <row r="455" spans="1:6" ht="15.75">
      <c r="A455" s="116" t="s">
        <v>70</v>
      </c>
      <c r="B455" s="117" t="s">
        <v>71</v>
      </c>
      <c r="C455" s="118" t="s">
        <v>69</v>
      </c>
      <c r="D455" s="119">
        <v>0.28000000000000003</v>
      </c>
      <c r="E455" s="120">
        <v>8.4700000000000006</v>
      </c>
      <c r="F455" s="121">
        <f>E455*D455</f>
        <v>2.37</v>
      </c>
    </row>
    <row r="456" spans="1:6" ht="15.75">
      <c r="A456" s="631" t="s">
        <v>72</v>
      </c>
      <c r="B456" s="631"/>
      <c r="C456" s="631"/>
      <c r="D456" s="631"/>
      <c r="E456" s="631"/>
      <c r="F456" s="123">
        <f>SUM(F454:F455)</f>
        <v>5.37</v>
      </c>
    </row>
    <row r="457" spans="1:6" ht="15.75">
      <c r="A457" s="631" t="s">
        <v>73</v>
      </c>
      <c r="B457" s="631"/>
      <c r="C457" s="631"/>
      <c r="D457" s="631"/>
      <c r="E457" s="631"/>
      <c r="F457" s="123">
        <f>SUM(F456:F456)</f>
        <v>5.37</v>
      </c>
    </row>
    <row r="458" spans="1:6" ht="15.75">
      <c r="A458" s="179"/>
      <c r="B458" s="629" t="s">
        <v>74</v>
      </c>
      <c r="C458" s="629"/>
      <c r="D458" s="629"/>
      <c r="E458" s="629"/>
      <c r="F458" s="629"/>
    </row>
    <row r="459" spans="1:6" ht="15.75">
      <c r="A459" s="122" t="s">
        <v>315</v>
      </c>
      <c r="B459" s="117" t="s">
        <v>317</v>
      </c>
      <c r="C459" s="118" t="s">
        <v>18</v>
      </c>
      <c r="D459" s="119">
        <v>1</v>
      </c>
      <c r="E459" s="121">
        <v>6.59</v>
      </c>
      <c r="F459" s="121">
        <f>E459*D459</f>
        <v>6.59</v>
      </c>
    </row>
    <row r="460" spans="1:6" ht="15.75">
      <c r="A460" s="122" t="s">
        <v>104</v>
      </c>
      <c r="B460" s="117" t="s">
        <v>105</v>
      </c>
      <c r="C460" s="118" t="s">
        <v>14</v>
      </c>
      <c r="D460" s="119">
        <v>0.01</v>
      </c>
      <c r="E460" s="121">
        <v>46.3</v>
      </c>
      <c r="F460" s="121">
        <f>E460*D460</f>
        <v>0.46</v>
      </c>
    </row>
    <row r="461" spans="1:6" ht="31.5">
      <c r="A461" s="122" t="s">
        <v>106</v>
      </c>
      <c r="B461" s="117" t="s">
        <v>107</v>
      </c>
      <c r="C461" s="118" t="s">
        <v>18</v>
      </c>
      <c r="D461" s="119">
        <v>1</v>
      </c>
      <c r="E461" s="121">
        <v>0.83</v>
      </c>
      <c r="F461" s="121">
        <f>E461*D461</f>
        <v>0.83</v>
      </c>
    </row>
    <row r="462" spans="1:6" ht="15.75">
      <c r="A462" s="631" t="s">
        <v>82</v>
      </c>
      <c r="B462" s="631"/>
      <c r="C462" s="631"/>
      <c r="D462" s="631"/>
      <c r="E462" s="631"/>
      <c r="F462" s="123">
        <f>SUM(F459:F461)</f>
        <v>7.88</v>
      </c>
    </row>
    <row r="463" spans="1:6" ht="15.75">
      <c r="A463" s="622" t="s">
        <v>83</v>
      </c>
      <c r="B463" s="622"/>
      <c r="C463" s="622"/>
      <c r="D463" s="622"/>
      <c r="E463" s="622"/>
      <c r="F463" s="123">
        <f>SUM(F457+F462)</f>
        <v>13.25</v>
      </c>
    </row>
    <row r="464" spans="1:6" ht="15.75">
      <c r="A464" s="622" t="s">
        <v>84</v>
      </c>
      <c r="B464" s="622"/>
      <c r="C464" s="622"/>
      <c r="D464" s="622"/>
      <c r="E464" s="622"/>
      <c r="F464" s="123">
        <f>F463</f>
        <v>13.25</v>
      </c>
    </row>
    <row r="465" spans="1:6" ht="15.75">
      <c r="A465" s="22" t="s">
        <v>2</v>
      </c>
      <c r="B465" s="22" t="s">
        <v>62</v>
      </c>
      <c r="C465" s="22" t="s">
        <v>4</v>
      </c>
      <c r="D465" s="22" t="s">
        <v>63</v>
      </c>
      <c r="E465" s="22" t="s">
        <v>64</v>
      </c>
      <c r="F465" s="22" t="s">
        <v>65</v>
      </c>
    </row>
    <row r="466" spans="1:6" ht="15.75">
      <c r="A466" s="114"/>
      <c r="B466" s="617" t="s">
        <v>316</v>
      </c>
      <c r="C466" s="617"/>
      <c r="D466" s="617"/>
      <c r="E466" s="617"/>
      <c r="F466" s="617"/>
    </row>
    <row r="467" spans="1:6" ht="15.75">
      <c r="A467" s="115"/>
      <c r="B467" s="629" t="s">
        <v>66</v>
      </c>
      <c r="C467" s="629"/>
      <c r="D467" s="629"/>
      <c r="E467" s="629"/>
      <c r="F467" s="629"/>
    </row>
    <row r="468" spans="1:6" ht="15.75">
      <c r="A468" s="116" t="s">
        <v>67</v>
      </c>
      <c r="B468" s="117" t="s">
        <v>68</v>
      </c>
      <c r="C468" s="118" t="s">
        <v>69</v>
      </c>
      <c r="D468" s="119">
        <v>0.28000000000000003</v>
      </c>
      <c r="E468" s="120">
        <v>10.7</v>
      </c>
      <c r="F468" s="121">
        <f>E468*D468</f>
        <v>3</v>
      </c>
    </row>
    <row r="469" spans="1:6" ht="15.75">
      <c r="A469" s="116" t="s">
        <v>70</v>
      </c>
      <c r="B469" s="117" t="s">
        <v>71</v>
      </c>
      <c r="C469" s="118" t="s">
        <v>69</v>
      </c>
      <c r="D469" s="119">
        <v>0.28000000000000003</v>
      </c>
      <c r="E469" s="120">
        <v>8.4700000000000006</v>
      </c>
      <c r="F469" s="121">
        <f>E469*D469</f>
        <v>2.37</v>
      </c>
    </row>
    <row r="470" spans="1:6" ht="15.75">
      <c r="A470" s="631" t="s">
        <v>72</v>
      </c>
      <c r="B470" s="631"/>
      <c r="C470" s="631"/>
      <c r="D470" s="631"/>
      <c r="E470" s="631"/>
      <c r="F470" s="123">
        <f>SUM(F468:F469)</f>
        <v>5.37</v>
      </c>
    </row>
    <row r="471" spans="1:6" ht="15.75">
      <c r="A471" s="631" t="s">
        <v>73</v>
      </c>
      <c r="B471" s="631"/>
      <c r="C471" s="631"/>
      <c r="D471" s="631"/>
      <c r="E471" s="631"/>
      <c r="F471" s="123">
        <f>SUM(F470:F470)</f>
        <v>5.37</v>
      </c>
    </row>
    <row r="472" spans="1:6" ht="15.75">
      <c r="A472" s="179"/>
      <c r="B472" s="629" t="s">
        <v>74</v>
      </c>
      <c r="C472" s="629"/>
      <c r="D472" s="629"/>
      <c r="E472" s="629"/>
      <c r="F472" s="629"/>
    </row>
    <row r="473" spans="1:6" ht="15.75">
      <c r="A473" s="122" t="s">
        <v>319</v>
      </c>
      <c r="B473" s="117" t="s">
        <v>318</v>
      </c>
      <c r="C473" s="118" t="s">
        <v>18</v>
      </c>
      <c r="D473" s="119">
        <v>1</v>
      </c>
      <c r="E473" s="121">
        <v>4.26</v>
      </c>
      <c r="F473" s="121">
        <f>E473*D473</f>
        <v>4.26</v>
      </c>
    </row>
    <row r="474" spans="1:6" ht="15.75">
      <c r="A474" s="122" t="s">
        <v>104</v>
      </c>
      <c r="B474" s="117" t="s">
        <v>105</v>
      </c>
      <c r="C474" s="118" t="s">
        <v>14</v>
      </c>
      <c r="D474" s="119">
        <v>0.01</v>
      </c>
      <c r="E474" s="121">
        <v>46.3</v>
      </c>
      <c r="F474" s="121">
        <f>E474*D474</f>
        <v>0.46</v>
      </c>
    </row>
    <row r="475" spans="1:6" ht="31.5">
      <c r="A475" s="122" t="s">
        <v>106</v>
      </c>
      <c r="B475" s="117" t="s">
        <v>107</v>
      </c>
      <c r="C475" s="118" t="s">
        <v>18</v>
      </c>
      <c r="D475" s="119">
        <v>1</v>
      </c>
      <c r="E475" s="121">
        <v>0.83</v>
      </c>
      <c r="F475" s="121">
        <f>E475*D475</f>
        <v>0.83</v>
      </c>
    </row>
    <row r="476" spans="1:6" ht="15.75">
      <c r="A476" s="631" t="s">
        <v>82</v>
      </c>
      <c r="B476" s="631"/>
      <c r="C476" s="631"/>
      <c r="D476" s="631"/>
      <c r="E476" s="631"/>
      <c r="F476" s="123">
        <f>SUM(F473:F475)</f>
        <v>5.55</v>
      </c>
    </row>
    <row r="477" spans="1:6" ht="15.75">
      <c r="A477" s="622" t="s">
        <v>83</v>
      </c>
      <c r="B477" s="622"/>
      <c r="C477" s="622"/>
      <c r="D477" s="622"/>
      <c r="E477" s="622"/>
      <c r="F477" s="123">
        <f>SUM(F471+F476)</f>
        <v>10.92</v>
      </c>
    </row>
    <row r="478" spans="1:6" ht="15.75">
      <c r="A478" s="622" t="s">
        <v>84</v>
      </c>
      <c r="B478" s="622"/>
      <c r="C478" s="622"/>
      <c r="D478" s="622"/>
      <c r="E478" s="622"/>
      <c r="F478" s="123">
        <f>F477</f>
        <v>10.92</v>
      </c>
    </row>
    <row r="479" spans="1:6" ht="15.75">
      <c r="A479" s="22" t="s">
        <v>2</v>
      </c>
      <c r="B479" s="22" t="s">
        <v>62</v>
      </c>
      <c r="C479" s="22" t="s">
        <v>4</v>
      </c>
      <c r="D479" s="22" t="s">
        <v>63</v>
      </c>
      <c r="E479" s="22" t="s">
        <v>64</v>
      </c>
      <c r="F479" s="22" t="s">
        <v>65</v>
      </c>
    </row>
    <row r="480" spans="1:6" ht="15.75">
      <c r="A480" s="114"/>
      <c r="B480" s="617" t="s">
        <v>109</v>
      </c>
      <c r="C480" s="617"/>
      <c r="D480" s="617"/>
      <c r="E480" s="617"/>
      <c r="F480" s="617"/>
    </row>
    <row r="481" spans="1:6" ht="15.75">
      <c r="A481" s="115"/>
      <c r="B481" s="629" t="s">
        <v>66</v>
      </c>
      <c r="C481" s="629"/>
      <c r="D481" s="629"/>
      <c r="E481" s="629"/>
      <c r="F481" s="629"/>
    </row>
    <row r="482" spans="1:6" ht="15.75">
      <c r="A482" s="116" t="s">
        <v>67</v>
      </c>
      <c r="B482" s="117" t="s">
        <v>68</v>
      </c>
      <c r="C482" s="118" t="s">
        <v>69</v>
      </c>
      <c r="D482" s="119">
        <v>0.4</v>
      </c>
      <c r="E482" s="120">
        <v>9.82</v>
      </c>
      <c r="F482" s="121">
        <f>E482*D482</f>
        <v>3.93</v>
      </c>
    </row>
    <row r="483" spans="1:6" ht="15.75">
      <c r="A483" s="116" t="s">
        <v>70</v>
      </c>
      <c r="B483" s="117" t="s">
        <v>71</v>
      </c>
      <c r="C483" s="118" t="s">
        <v>69</v>
      </c>
      <c r="D483" s="119">
        <v>0.4</v>
      </c>
      <c r="E483" s="120">
        <v>7.77</v>
      </c>
      <c r="F483" s="121">
        <f>E483*D483</f>
        <v>3.11</v>
      </c>
    </row>
    <row r="484" spans="1:6" ht="15.75">
      <c r="A484" s="631" t="s">
        <v>72</v>
      </c>
      <c r="B484" s="631"/>
      <c r="C484" s="631"/>
      <c r="D484" s="631"/>
      <c r="E484" s="631"/>
      <c r="F484" s="123">
        <f>SUM(F482:F483)</f>
        <v>7.04</v>
      </c>
    </row>
    <row r="485" spans="1:6" ht="15.75">
      <c r="A485" s="631" t="s">
        <v>73</v>
      </c>
      <c r="B485" s="631"/>
      <c r="C485" s="631"/>
      <c r="D485" s="631"/>
      <c r="E485" s="631"/>
      <c r="F485" s="123">
        <f>SUM(F484:F484)</f>
        <v>7.04</v>
      </c>
    </row>
    <row r="486" spans="1:6" ht="15.75">
      <c r="A486" s="179"/>
      <c r="B486" s="629" t="s">
        <v>74</v>
      </c>
      <c r="C486" s="629"/>
      <c r="D486" s="629"/>
      <c r="E486" s="629"/>
      <c r="F486" s="629"/>
    </row>
    <row r="487" spans="1:6" ht="15.75">
      <c r="A487" s="122" t="s">
        <v>110</v>
      </c>
      <c r="B487" s="117" t="s">
        <v>111</v>
      </c>
      <c r="C487" s="118" t="s">
        <v>18</v>
      </c>
      <c r="D487" s="119">
        <v>1</v>
      </c>
      <c r="E487" s="121">
        <v>7.5</v>
      </c>
      <c r="F487" s="121">
        <f>E487*D487</f>
        <v>7.5</v>
      </c>
    </row>
    <row r="488" spans="1:6" ht="15.75">
      <c r="A488" s="122" t="s">
        <v>104</v>
      </c>
      <c r="B488" s="117" t="s">
        <v>105</v>
      </c>
      <c r="C488" s="118" t="s">
        <v>14</v>
      </c>
      <c r="D488" s="119">
        <v>1.6E-2</v>
      </c>
      <c r="E488" s="121">
        <v>46.3</v>
      </c>
      <c r="F488" s="121">
        <f>E488*D488</f>
        <v>0.74</v>
      </c>
    </row>
    <row r="489" spans="1:6" ht="31.5">
      <c r="A489" s="122" t="s">
        <v>106</v>
      </c>
      <c r="B489" s="117" t="s">
        <v>107</v>
      </c>
      <c r="C489" s="118" t="s">
        <v>18</v>
      </c>
      <c r="D489" s="119">
        <v>1</v>
      </c>
      <c r="E489" s="121">
        <v>0.82</v>
      </c>
      <c r="F489" s="121">
        <f>E489*D489</f>
        <v>0.82</v>
      </c>
    </row>
    <row r="490" spans="1:6" ht="15.75">
      <c r="A490" s="631" t="s">
        <v>82</v>
      </c>
      <c r="B490" s="631"/>
      <c r="C490" s="631"/>
      <c r="D490" s="631"/>
      <c r="E490" s="631"/>
      <c r="F490" s="123">
        <f>SUM(F487:F489)</f>
        <v>9.06</v>
      </c>
    </row>
    <row r="491" spans="1:6" ht="15.75">
      <c r="A491" s="622" t="s">
        <v>83</v>
      </c>
      <c r="B491" s="622"/>
      <c r="C491" s="622"/>
      <c r="D491" s="622"/>
      <c r="E491" s="622"/>
      <c r="F491" s="123">
        <f>SUM(F485+F490)</f>
        <v>16.100000000000001</v>
      </c>
    </row>
    <row r="492" spans="1:6" ht="15.75">
      <c r="A492" s="622" t="s">
        <v>84</v>
      </c>
      <c r="B492" s="622"/>
      <c r="C492" s="622"/>
      <c r="D492" s="622"/>
      <c r="E492" s="622"/>
      <c r="F492" s="123">
        <f>F491</f>
        <v>16.100000000000001</v>
      </c>
    </row>
    <row r="493" spans="1:6" ht="15.75">
      <c r="A493" s="22" t="s">
        <v>2</v>
      </c>
      <c r="B493" s="22" t="s">
        <v>62</v>
      </c>
      <c r="C493" s="22" t="s">
        <v>4</v>
      </c>
      <c r="D493" s="22" t="s">
        <v>63</v>
      </c>
      <c r="E493" s="22" t="s">
        <v>64</v>
      </c>
      <c r="F493" s="22" t="s">
        <v>65</v>
      </c>
    </row>
    <row r="494" spans="1:6" ht="15.75">
      <c r="A494" s="184"/>
      <c r="B494" s="636" t="s">
        <v>320</v>
      </c>
      <c r="C494" s="636"/>
      <c r="D494" s="636"/>
      <c r="E494" s="636"/>
      <c r="F494" s="637"/>
    </row>
    <row r="495" spans="1:6" ht="15.75">
      <c r="A495" s="185"/>
      <c r="B495" s="636" t="s">
        <v>66</v>
      </c>
      <c r="C495" s="638"/>
      <c r="D495" s="638"/>
      <c r="E495" s="638"/>
      <c r="F495" s="639"/>
    </row>
    <row r="496" spans="1:6" ht="15.75">
      <c r="A496" s="186" t="s">
        <v>67</v>
      </c>
      <c r="B496" s="187" t="s">
        <v>68</v>
      </c>
      <c r="C496" s="130" t="s">
        <v>69</v>
      </c>
      <c r="D496" s="131">
        <v>0.34</v>
      </c>
      <c r="E496" s="120">
        <v>10.7</v>
      </c>
      <c r="F496" s="133">
        <f>E496*D496</f>
        <v>3.64</v>
      </c>
    </row>
    <row r="497" spans="1:6" ht="15.75">
      <c r="A497" s="186" t="s">
        <v>70</v>
      </c>
      <c r="B497" s="187" t="s">
        <v>71</v>
      </c>
      <c r="C497" s="130" t="s">
        <v>69</v>
      </c>
      <c r="D497" s="131">
        <v>0.34</v>
      </c>
      <c r="E497" s="120">
        <v>8.4700000000000006</v>
      </c>
      <c r="F497" s="133">
        <f>E497*D497</f>
        <v>2.88</v>
      </c>
    </row>
    <row r="498" spans="1:6" ht="15.75">
      <c r="A498" s="620" t="s">
        <v>72</v>
      </c>
      <c r="B498" s="614"/>
      <c r="C498" s="614"/>
      <c r="D498" s="614"/>
      <c r="E498" s="614"/>
      <c r="F498" s="188">
        <f>SUM(F496:F497)</f>
        <v>6.52</v>
      </c>
    </row>
    <row r="499" spans="1:6" ht="15.75">
      <c r="A499" s="620" t="s">
        <v>73</v>
      </c>
      <c r="B499" s="614"/>
      <c r="C499" s="614"/>
      <c r="D499" s="614"/>
      <c r="E499" s="614"/>
      <c r="F499" s="188">
        <f>SUM(F498:F498)</f>
        <v>6.52</v>
      </c>
    </row>
    <row r="500" spans="1:6" ht="15.75">
      <c r="A500" s="189"/>
      <c r="B500" s="636" t="s">
        <v>74</v>
      </c>
      <c r="C500" s="636"/>
      <c r="D500" s="636"/>
      <c r="E500" s="636"/>
      <c r="F500" s="637"/>
    </row>
    <row r="501" spans="1:6" ht="15.75">
      <c r="A501" s="190" t="s">
        <v>321</v>
      </c>
      <c r="B501" s="187" t="s">
        <v>322</v>
      </c>
      <c r="C501" s="130" t="s">
        <v>18</v>
      </c>
      <c r="D501" s="131">
        <v>1</v>
      </c>
      <c r="E501" s="132">
        <v>2.46</v>
      </c>
      <c r="F501" s="133">
        <f>E501*D501</f>
        <v>2.46</v>
      </c>
    </row>
    <row r="502" spans="1:6" ht="15.75">
      <c r="A502" s="186" t="s">
        <v>77</v>
      </c>
      <c r="B502" s="187" t="s">
        <v>78</v>
      </c>
      <c r="C502" s="130" t="s">
        <v>81</v>
      </c>
      <c r="D502" s="131">
        <v>1.52E-2</v>
      </c>
      <c r="E502" s="163">
        <v>31.96</v>
      </c>
      <c r="F502" s="133">
        <f>E502*D502</f>
        <v>0.49</v>
      </c>
    </row>
    <row r="503" spans="1:6" ht="15.75">
      <c r="A503" s="186" t="s">
        <v>79</v>
      </c>
      <c r="B503" s="187" t="s">
        <v>80</v>
      </c>
      <c r="C503" s="130" t="s">
        <v>81</v>
      </c>
      <c r="D503" s="131">
        <v>2.2499999999999999E-2</v>
      </c>
      <c r="E503" s="163">
        <v>37.85</v>
      </c>
      <c r="F503" s="133">
        <f>E503*D503</f>
        <v>0.85</v>
      </c>
    </row>
    <row r="504" spans="1:6" ht="15.75">
      <c r="A504" s="653" t="s">
        <v>82</v>
      </c>
      <c r="B504" s="654"/>
      <c r="C504" s="654"/>
      <c r="D504" s="654"/>
      <c r="E504" s="654"/>
      <c r="F504" s="188">
        <f>SUM(F501:F503)</f>
        <v>3.8</v>
      </c>
    </row>
    <row r="505" spans="1:6" ht="15.75">
      <c r="A505" s="653" t="s">
        <v>83</v>
      </c>
      <c r="B505" s="654"/>
      <c r="C505" s="654"/>
      <c r="D505" s="654"/>
      <c r="E505" s="654"/>
      <c r="F505" s="188">
        <f>SUM(F499+F504)</f>
        <v>10.32</v>
      </c>
    </row>
    <row r="506" spans="1:6" ht="15.75">
      <c r="A506" s="653" t="s">
        <v>84</v>
      </c>
      <c r="B506" s="654"/>
      <c r="C506" s="654"/>
      <c r="D506" s="654"/>
      <c r="E506" s="654"/>
      <c r="F506" s="188">
        <f>F505</f>
        <v>10.32</v>
      </c>
    </row>
    <row r="507" spans="1:6" ht="15.75">
      <c r="A507" s="22" t="s">
        <v>2</v>
      </c>
      <c r="B507" s="22" t="s">
        <v>62</v>
      </c>
      <c r="C507" s="22" t="s">
        <v>4</v>
      </c>
      <c r="D507" s="22" t="s">
        <v>112</v>
      </c>
      <c r="E507" s="22" t="s">
        <v>64</v>
      </c>
      <c r="F507" s="22" t="s">
        <v>65</v>
      </c>
    </row>
    <row r="508" spans="1:6" ht="15.75">
      <c r="A508" s="150"/>
      <c r="B508" s="665" t="s">
        <v>235</v>
      </c>
      <c r="C508" s="665"/>
      <c r="D508" s="665"/>
      <c r="E508" s="665"/>
      <c r="F508" s="665"/>
    </row>
    <row r="509" spans="1:6" ht="15.75">
      <c r="A509" s="151"/>
      <c r="B509" s="630" t="s">
        <v>66</v>
      </c>
      <c r="C509" s="630"/>
      <c r="D509" s="630"/>
      <c r="E509" s="630"/>
      <c r="F509" s="630"/>
    </row>
    <row r="510" spans="1:6" ht="15.75">
      <c r="A510" s="116" t="s">
        <v>113</v>
      </c>
      <c r="B510" s="152" t="s">
        <v>114</v>
      </c>
      <c r="C510" s="153" t="s">
        <v>69</v>
      </c>
      <c r="D510" s="154">
        <v>16.5</v>
      </c>
      <c r="E510" s="120">
        <v>8.3800000000000008</v>
      </c>
      <c r="F510" s="120">
        <f t="shared" ref="F510:F517" si="1">ROUND(D510*E510,2)</f>
        <v>138.27000000000001</v>
      </c>
    </row>
    <row r="511" spans="1:6" ht="15.75">
      <c r="A511" s="116" t="s">
        <v>70</v>
      </c>
      <c r="B511" s="152" t="s">
        <v>71</v>
      </c>
      <c r="C511" s="153" t="s">
        <v>69</v>
      </c>
      <c r="D511" s="154">
        <v>8.1999999999999993</v>
      </c>
      <c r="E511" s="120">
        <v>8.5299999999999994</v>
      </c>
      <c r="F511" s="120">
        <f t="shared" si="1"/>
        <v>69.95</v>
      </c>
    </row>
    <row r="512" spans="1:6" ht="15.75">
      <c r="A512" s="122" t="s">
        <v>115</v>
      </c>
      <c r="B512" s="152" t="s">
        <v>116</v>
      </c>
      <c r="C512" s="153" t="s">
        <v>69</v>
      </c>
      <c r="D512" s="154">
        <v>0.2</v>
      </c>
      <c r="E512" s="120">
        <v>8.3800000000000008</v>
      </c>
      <c r="F512" s="120">
        <f t="shared" si="1"/>
        <v>1.68</v>
      </c>
    </row>
    <row r="513" spans="1:6" ht="15.75">
      <c r="A513" s="116" t="s">
        <v>117</v>
      </c>
      <c r="B513" s="152" t="s">
        <v>118</v>
      </c>
      <c r="C513" s="153" t="s">
        <v>69</v>
      </c>
      <c r="D513" s="154">
        <v>16.5</v>
      </c>
      <c r="E513" s="120">
        <v>10.7</v>
      </c>
      <c r="F513" s="120">
        <f t="shared" si="1"/>
        <v>176.55</v>
      </c>
    </row>
    <row r="514" spans="1:6" ht="15.75">
      <c r="A514" s="116" t="s">
        <v>67</v>
      </c>
      <c r="B514" s="152" t="s">
        <v>68</v>
      </c>
      <c r="C514" s="153" t="s">
        <v>69</v>
      </c>
      <c r="D514" s="154">
        <v>8.1999999999999993</v>
      </c>
      <c r="E514" s="120">
        <v>10.7</v>
      </c>
      <c r="F514" s="120">
        <f t="shared" si="1"/>
        <v>87.74</v>
      </c>
    </row>
    <row r="515" spans="1:6" ht="15.75">
      <c r="A515" s="116" t="s">
        <v>119</v>
      </c>
      <c r="B515" s="152" t="s">
        <v>120</v>
      </c>
      <c r="C515" s="153" t="s">
        <v>69</v>
      </c>
      <c r="D515" s="154">
        <v>0.2</v>
      </c>
      <c r="E515" s="120">
        <v>10.7</v>
      </c>
      <c r="F515" s="120">
        <f t="shared" si="1"/>
        <v>2.14</v>
      </c>
    </row>
    <row r="516" spans="1:6" ht="15.75">
      <c r="A516" s="116" t="s">
        <v>121</v>
      </c>
      <c r="B516" s="152" t="s">
        <v>122</v>
      </c>
      <c r="C516" s="153" t="s">
        <v>69</v>
      </c>
      <c r="D516" s="154">
        <v>72.5</v>
      </c>
      <c r="E516" s="120">
        <v>10.7</v>
      </c>
      <c r="F516" s="120">
        <f t="shared" si="1"/>
        <v>775.75</v>
      </c>
    </row>
    <row r="517" spans="1:6" ht="15.75">
      <c r="A517" s="116" t="s">
        <v>123</v>
      </c>
      <c r="B517" s="152" t="s">
        <v>124</v>
      </c>
      <c r="C517" s="153" t="s">
        <v>69</v>
      </c>
      <c r="D517" s="154">
        <v>264.39999999999998</v>
      </c>
      <c r="E517" s="120">
        <v>8.3800000000000008</v>
      </c>
      <c r="F517" s="120">
        <f t="shared" si="1"/>
        <v>2215.67</v>
      </c>
    </row>
    <row r="518" spans="1:6" ht="15.75">
      <c r="A518" s="631" t="s">
        <v>72</v>
      </c>
      <c r="B518" s="631"/>
      <c r="C518" s="631"/>
      <c r="D518" s="631"/>
      <c r="E518" s="631"/>
      <c r="F518" s="155">
        <f>SUM(F510:F517)</f>
        <v>3467.75</v>
      </c>
    </row>
    <row r="519" spans="1:6" ht="15.75">
      <c r="A519" s="631" t="s">
        <v>73</v>
      </c>
      <c r="B519" s="631"/>
      <c r="C519" s="631"/>
      <c r="D519" s="631"/>
      <c r="E519" s="631"/>
      <c r="F519" s="155">
        <f>SUM(F518:F518)</f>
        <v>3467.75</v>
      </c>
    </row>
    <row r="520" spans="1:6" ht="15.75">
      <c r="A520" s="151"/>
      <c r="B520" s="630" t="s">
        <v>74</v>
      </c>
      <c r="C520" s="630"/>
      <c r="D520" s="630"/>
      <c r="E520" s="630"/>
      <c r="F520" s="630"/>
    </row>
    <row r="521" spans="1:6" ht="15.75">
      <c r="A521" s="122" t="s">
        <v>236</v>
      </c>
      <c r="B521" s="152" t="s">
        <v>125</v>
      </c>
      <c r="C521" s="153" t="s">
        <v>14</v>
      </c>
      <c r="D521" s="154">
        <v>1.55</v>
      </c>
      <c r="E521" s="120">
        <v>3.52</v>
      </c>
      <c r="F521" s="120">
        <f t="shared" ref="F521:F540" si="2">ROUND(D521*E521,2)</f>
        <v>5.46</v>
      </c>
    </row>
    <row r="522" spans="1:6" ht="15.75">
      <c r="A522" s="116" t="s">
        <v>126</v>
      </c>
      <c r="B522" s="152" t="s">
        <v>127</v>
      </c>
      <c r="C522" s="153" t="s">
        <v>18</v>
      </c>
      <c r="D522" s="191">
        <v>13.3</v>
      </c>
      <c r="E522" s="120">
        <v>1.07</v>
      </c>
      <c r="F522" s="120">
        <f t="shared" si="2"/>
        <v>14.23</v>
      </c>
    </row>
    <row r="523" spans="1:6" ht="15.75">
      <c r="A523" s="116" t="s">
        <v>128</v>
      </c>
      <c r="B523" s="152" t="s">
        <v>129</v>
      </c>
      <c r="C523" s="153" t="s">
        <v>18</v>
      </c>
      <c r="D523" s="154">
        <v>2</v>
      </c>
      <c r="E523" s="120">
        <v>1.53</v>
      </c>
      <c r="F523" s="120">
        <f t="shared" si="2"/>
        <v>3.06</v>
      </c>
    </row>
    <row r="524" spans="1:6" ht="15.75">
      <c r="A524" s="116" t="s">
        <v>130</v>
      </c>
      <c r="B524" s="152" t="s">
        <v>131</v>
      </c>
      <c r="C524" s="153" t="s">
        <v>14</v>
      </c>
      <c r="D524" s="154">
        <v>3.1E-2</v>
      </c>
      <c r="E524" s="120">
        <v>7.3</v>
      </c>
      <c r="F524" s="120">
        <f t="shared" si="2"/>
        <v>0.23</v>
      </c>
    </row>
    <row r="525" spans="1:6" ht="15.75">
      <c r="A525" s="116" t="s">
        <v>132</v>
      </c>
      <c r="B525" s="152" t="s">
        <v>133</v>
      </c>
      <c r="C525" s="153" t="s">
        <v>8</v>
      </c>
      <c r="D525" s="154">
        <v>3.2</v>
      </c>
      <c r="E525" s="120">
        <v>65</v>
      </c>
      <c r="F525" s="120">
        <f t="shared" si="2"/>
        <v>208</v>
      </c>
    </row>
    <row r="526" spans="1:6" ht="15.75">
      <c r="A526" s="116" t="s">
        <v>134</v>
      </c>
      <c r="B526" s="152" t="s">
        <v>135</v>
      </c>
      <c r="C526" s="153" t="s">
        <v>14</v>
      </c>
      <c r="D526" s="154">
        <v>900</v>
      </c>
      <c r="E526" s="120">
        <v>0.64</v>
      </c>
      <c r="F526" s="120">
        <f t="shared" si="2"/>
        <v>576</v>
      </c>
    </row>
    <row r="527" spans="1:6" ht="31.5">
      <c r="A527" s="116" t="s">
        <v>136</v>
      </c>
      <c r="B527" s="152" t="s">
        <v>137</v>
      </c>
      <c r="C527" s="153" t="s">
        <v>18</v>
      </c>
      <c r="D527" s="154">
        <v>4</v>
      </c>
      <c r="E527" s="120">
        <v>20.97</v>
      </c>
      <c r="F527" s="120">
        <f t="shared" si="2"/>
        <v>83.88</v>
      </c>
    </row>
    <row r="528" spans="1:6" ht="31.5">
      <c r="A528" s="116" t="s">
        <v>138</v>
      </c>
      <c r="B528" s="152" t="s">
        <v>139</v>
      </c>
      <c r="C528" s="153" t="s">
        <v>18</v>
      </c>
      <c r="D528" s="154">
        <v>2</v>
      </c>
      <c r="E528" s="120">
        <v>13.02</v>
      </c>
      <c r="F528" s="120">
        <f t="shared" si="2"/>
        <v>26.04</v>
      </c>
    </row>
    <row r="529" spans="1:6" ht="15.75">
      <c r="A529" s="116" t="s">
        <v>140</v>
      </c>
      <c r="B529" s="152" t="s">
        <v>141</v>
      </c>
      <c r="C529" s="153" t="s">
        <v>81</v>
      </c>
      <c r="D529" s="154">
        <v>1.65</v>
      </c>
      <c r="E529" s="120">
        <v>8.9499999999999993</v>
      </c>
      <c r="F529" s="120">
        <f t="shared" si="2"/>
        <v>14.77</v>
      </c>
    </row>
    <row r="530" spans="1:6" ht="15.75">
      <c r="A530" s="122" t="s">
        <v>104</v>
      </c>
      <c r="B530" s="152" t="s">
        <v>142</v>
      </c>
      <c r="C530" s="153" t="s">
        <v>14</v>
      </c>
      <c r="D530" s="154">
        <v>0.3</v>
      </c>
      <c r="E530" s="120">
        <v>14.95</v>
      </c>
      <c r="F530" s="120">
        <f t="shared" si="2"/>
        <v>4.49</v>
      </c>
    </row>
    <row r="531" spans="1:6" ht="15.75">
      <c r="A531" s="116" t="s">
        <v>143</v>
      </c>
      <c r="B531" s="152" t="s">
        <v>144</v>
      </c>
      <c r="C531" s="153" t="s">
        <v>17</v>
      </c>
      <c r="D531" s="154">
        <v>30</v>
      </c>
      <c r="E531" s="120">
        <v>4.75</v>
      </c>
      <c r="F531" s="120">
        <f t="shared" si="2"/>
        <v>142.5</v>
      </c>
    </row>
    <row r="532" spans="1:6" ht="15.75">
      <c r="A532" s="116" t="s">
        <v>145</v>
      </c>
      <c r="B532" s="152" t="s">
        <v>146</v>
      </c>
      <c r="C532" s="153" t="s">
        <v>14</v>
      </c>
      <c r="D532" s="154">
        <v>1.95</v>
      </c>
      <c r="E532" s="120">
        <v>6.6</v>
      </c>
      <c r="F532" s="120">
        <f t="shared" si="2"/>
        <v>12.87</v>
      </c>
    </row>
    <row r="533" spans="1:6" ht="47.25">
      <c r="A533" s="166" t="s">
        <v>147</v>
      </c>
      <c r="B533" s="152" t="s">
        <v>148</v>
      </c>
      <c r="C533" s="153" t="s">
        <v>81</v>
      </c>
      <c r="D533" s="154">
        <v>0.5</v>
      </c>
      <c r="E533" s="120">
        <v>7.7</v>
      </c>
      <c r="F533" s="120">
        <f t="shared" si="2"/>
        <v>3.85</v>
      </c>
    </row>
    <row r="534" spans="1:6" ht="15.75">
      <c r="A534" s="116" t="s">
        <v>149</v>
      </c>
      <c r="B534" s="152" t="s">
        <v>150</v>
      </c>
      <c r="C534" s="153" t="s">
        <v>17</v>
      </c>
      <c r="D534" s="154">
        <v>12</v>
      </c>
      <c r="E534" s="120">
        <v>2.14</v>
      </c>
      <c r="F534" s="120">
        <f t="shared" si="2"/>
        <v>25.68</v>
      </c>
    </row>
    <row r="535" spans="1:6" ht="15.75">
      <c r="A535" s="116" t="s">
        <v>151</v>
      </c>
      <c r="B535" s="152" t="s">
        <v>152</v>
      </c>
      <c r="C535" s="153" t="s">
        <v>8</v>
      </c>
      <c r="D535" s="154">
        <v>1.5</v>
      </c>
      <c r="E535" s="120">
        <v>134.38999999999999</v>
      </c>
      <c r="F535" s="120">
        <f t="shared" si="2"/>
        <v>201.59</v>
      </c>
    </row>
    <row r="536" spans="1:6" ht="15.75">
      <c r="A536" s="116" t="s">
        <v>153</v>
      </c>
      <c r="B536" s="152" t="s">
        <v>154</v>
      </c>
      <c r="C536" s="153" t="s">
        <v>17</v>
      </c>
      <c r="D536" s="154">
        <v>28</v>
      </c>
      <c r="E536" s="120">
        <v>7.17</v>
      </c>
      <c r="F536" s="120">
        <f t="shared" si="2"/>
        <v>200.76</v>
      </c>
    </row>
    <row r="537" spans="1:6" ht="31.5">
      <c r="A537" s="116" t="s">
        <v>155</v>
      </c>
      <c r="B537" s="152" t="s">
        <v>156</v>
      </c>
      <c r="C537" s="153" t="s">
        <v>18</v>
      </c>
      <c r="D537" s="154">
        <v>1</v>
      </c>
      <c r="E537" s="120">
        <v>11.28</v>
      </c>
      <c r="F537" s="120">
        <f t="shared" si="2"/>
        <v>11.28</v>
      </c>
    </row>
    <row r="538" spans="1:6" ht="15.75">
      <c r="A538" s="116" t="s">
        <v>157</v>
      </c>
      <c r="B538" s="152" t="s">
        <v>158</v>
      </c>
      <c r="C538" s="153" t="s">
        <v>18</v>
      </c>
      <c r="D538" s="154">
        <v>870</v>
      </c>
      <c r="E538" s="120">
        <v>0.45</v>
      </c>
      <c r="F538" s="120">
        <f t="shared" si="2"/>
        <v>391.5</v>
      </c>
    </row>
    <row r="539" spans="1:6" ht="31.5">
      <c r="A539" s="116" t="s">
        <v>159</v>
      </c>
      <c r="B539" s="152" t="s">
        <v>160</v>
      </c>
      <c r="C539" s="153" t="s">
        <v>17</v>
      </c>
      <c r="D539" s="154">
        <v>6</v>
      </c>
      <c r="E539" s="120">
        <v>13.08</v>
      </c>
      <c r="F539" s="120">
        <f t="shared" si="2"/>
        <v>78.48</v>
      </c>
    </row>
    <row r="540" spans="1:6" ht="31.5">
      <c r="A540" s="116" t="s">
        <v>161</v>
      </c>
      <c r="B540" s="152" t="s">
        <v>162</v>
      </c>
      <c r="C540" s="153" t="s">
        <v>17</v>
      </c>
      <c r="D540" s="154">
        <v>12</v>
      </c>
      <c r="E540" s="120">
        <v>7.52</v>
      </c>
      <c r="F540" s="120">
        <f t="shared" si="2"/>
        <v>90.24</v>
      </c>
    </row>
    <row r="541" spans="1:6" ht="15.75">
      <c r="A541" s="631" t="s">
        <v>82</v>
      </c>
      <c r="B541" s="631"/>
      <c r="C541" s="631"/>
      <c r="D541" s="631"/>
      <c r="E541" s="631"/>
      <c r="F541" s="155">
        <f>SUM(F521:F540)</f>
        <v>2094.91</v>
      </c>
    </row>
    <row r="542" spans="1:6" ht="15.75">
      <c r="A542" s="151"/>
      <c r="B542" s="630" t="s">
        <v>163</v>
      </c>
      <c r="C542" s="630"/>
      <c r="D542" s="630"/>
      <c r="E542" s="630"/>
      <c r="F542" s="630"/>
    </row>
    <row r="543" spans="1:6" ht="15.75">
      <c r="A543" s="122" t="s">
        <v>237</v>
      </c>
      <c r="B543" s="152" t="s">
        <v>164</v>
      </c>
      <c r="C543" s="153" t="s">
        <v>165</v>
      </c>
      <c r="D543" s="154">
        <v>0.82389999999999997</v>
      </c>
      <c r="E543" s="120">
        <v>4.04</v>
      </c>
      <c r="F543" s="120">
        <f>ROUND(D543*E543,2)</f>
        <v>3.33</v>
      </c>
    </row>
    <row r="544" spans="1:6" ht="15.75">
      <c r="A544" s="631" t="s">
        <v>166</v>
      </c>
      <c r="B544" s="631"/>
      <c r="C544" s="631"/>
      <c r="D544" s="631"/>
      <c r="E544" s="631"/>
      <c r="F544" s="155">
        <f>SUM(F543)</f>
        <v>3.33</v>
      </c>
    </row>
    <row r="545" spans="1:6" ht="15.75">
      <c r="A545" s="631" t="s">
        <v>167</v>
      </c>
      <c r="B545" s="631"/>
      <c r="C545" s="631"/>
      <c r="D545" s="631"/>
      <c r="E545" s="631"/>
      <c r="F545" s="155">
        <f>SUM(F519+F541+-F544)</f>
        <v>5559.33</v>
      </c>
    </row>
    <row r="546" spans="1:6" ht="15.75">
      <c r="A546" s="631" t="s">
        <v>84</v>
      </c>
      <c r="B546" s="631"/>
      <c r="C546" s="631"/>
      <c r="D546" s="631"/>
      <c r="E546" s="631"/>
      <c r="F546" s="155">
        <f>F545</f>
        <v>5559.33</v>
      </c>
    </row>
    <row r="547" spans="1:6" s="57" customFormat="1" ht="16.5" thickBot="1">
      <c r="A547" s="671" t="s">
        <v>263</v>
      </c>
      <c r="B547" s="672"/>
      <c r="C547" s="672"/>
      <c r="D547" s="672"/>
      <c r="E547" s="672"/>
      <c r="F547" s="673"/>
    </row>
    <row r="548" spans="1:6" s="57" customFormat="1" ht="15.75">
      <c r="A548" s="68" t="s">
        <v>2</v>
      </c>
      <c r="B548" s="69" t="s">
        <v>62</v>
      </c>
      <c r="C548" s="69" t="s">
        <v>4</v>
      </c>
      <c r="D548" s="69" t="s">
        <v>63</v>
      </c>
      <c r="E548" s="69" t="s">
        <v>64</v>
      </c>
      <c r="F548" s="69" t="s">
        <v>65</v>
      </c>
    </row>
    <row r="549" spans="1:6" s="57" customFormat="1" ht="15.75">
      <c r="A549" s="180"/>
      <c r="B549" s="714" t="s">
        <v>259</v>
      </c>
      <c r="C549" s="714"/>
      <c r="D549" s="714"/>
      <c r="E549" s="714"/>
      <c r="F549" s="715"/>
    </row>
    <row r="550" spans="1:6" s="57" customFormat="1" ht="15.75">
      <c r="A550" s="181"/>
      <c r="B550" s="669" t="s">
        <v>66</v>
      </c>
      <c r="C550" s="669"/>
      <c r="D550" s="669"/>
      <c r="E550" s="669"/>
      <c r="F550" s="670"/>
    </row>
    <row r="551" spans="1:6" s="57" customFormat="1" ht="15.75">
      <c r="A551" s="116" t="s">
        <v>67</v>
      </c>
      <c r="B551" s="160" t="s">
        <v>68</v>
      </c>
      <c r="C551" s="182" t="s">
        <v>69</v>
      </c>
      <c r="D551" s="162">
        <v>0.53</v>
      </c>
      <c r="E551" s="120">
        <v>10.7</v>
      </c>
      <c r="F551" s="164">
        <f>E551*D551</f>
        <v>5.67</v>
      </c>
    </row>
    <row r="552" spans="1:6" s="57" customFormat="1" ht="15.75">
      <c r="A552" s="116" t="s">
        <v>70</v>
      </c>
      <c r="B552" s="160" t="s">
        <v>71</v>
      </c>
      <c r="C552" s="182" t="s">
        <v>69</v>
      </c>
      <c r="D552" s="162">
        <v>0.53</v>
      </c>
      <c r="E552" s="120">
        <v>8.5299999999999994</v>
      </c>
      <c r="F552" s="164">
        <f>E552*D552</f>
        <v>4.5199999999999996</v>
      </c>
    </row>
    <row r="553" spans="1:6" s="57" customFormat="1" ht="15.75">
      <c r="A553" s="620" t="s">
        <v>72</v>
      </c>
      <c r="B553" s="614"/>
      <c r="C553" s="614"/>
      <c r="D553" s="614"/>
      <c r="E553" s="614"/>
      <c r="F553" s="165">
        <f>SUM(F551:F552)</f>
        <v>10.19</v>
      </c>
    </row>
    <row r="554" spans="1:6" s="57" customFormat="1" ht="15.75">
      <c r="A554" s="620" t="s">
        <v>73</v>
      </c>
      <c r="B554" s="614"/>
      <c r="C554" s="614"/>
      <c r="D554" s="614"/>
      <c r="E554" s="614"/>
      <c r="F554" s="165">
        <f>SUM(F553:F553)</f>
        <v>10.19</v>
      </c>
    </row>
    <row r="555" spans="1:6" s="57" customFormat="1" ht="15.75">
      <c r="A555" s="218"/>
      <c r="B555" s="669" t="s">
        <v>74</v>
      </c>
      <c r="C555" s="669"/>
      <c r="D555" s="669"/>
      <c r="E555" s="669"/>
      <c r="F555" s="670"/>
    </row>
    <row r="556" spans="1:6" s="57" customFormat="1" ht="15.75">
      <c r="A556" s="122" t="s">
        <v>276</v>
      </c>
      <c r="B556" s="160" t="s">
        <v>260</v>
      </c>
      <c r="C556" s="182" t="s">
        <v>18</v>
      </c>
      <c r="D556" s="162">
        <v>1</v>
      </c>
      <c r="E556" s="163">
        <v>50.33</v>
      </c>
      <c r="F556" s="164">
        <f>E556*D556</f>
        <v>50.33</v>
      </c>
    </row>
    <row r="557" spans="1:6" s="57" customFormat="1" ht="31.5">
      <c r="A557" s="122" t="s">
        <v>277</v>
      </c>
      <c r="B557" s="160" t="s">
        <v>261</v>
      </c>
      <c r="C557" s="182" t="s">
        <v>18</v>
      </c>
      <c r="D557" s="162">
        <v>1</v>
      </c>
      <c r="E557" s="163">
        <v>6.31</v>
      </c>
      <c r="F557" s="164">
        <f>E557*D557</f>
        <v>6.31</v>
      </c>
    </row>
    <row r="558" spans="1:6" s="57" customFormat="1" ht="15.75">
      <c r="A558" s="122" t="s">
        <v>104</v>
      </c>
      <c r="B558" s="195" t="s">
        <v>262</v>
      </c>
      <c r="C558" s="196" t="s">
        <v>14</v>
      </c>
      <c r="D558" s="197">
        <v>2.8000000000000001E-2</v>
      </c>
      <c r="E558" s="201">
        <v>14.95</v>
      </c>
      <c r="F558" s="198">
        <f>E558*D558</f>
        <v>0.42</v>
      </c>
    </row>
    <row r="559" spans="1:6" s="57" customFormat="1" ht="15.75">
      <c r="A559" s="620" t="s">
        <v>82</v>
      </c>
      <c r="B559" s="614"/>
      <c r="C559" s="614"/>
      <c r="D559" s="614"/>
      <c r="E559" s="614"/>
      <c r="F559" s="165">
        <f>SUM(F556:F558)</f>
        <v>57.06</v>
      </c>
    </row>
    <row r="560" spans="1:6" s="57" customFormat="1" ht="15.75">
      <c r="A560" s="623" t="s">
        <v>83</v>
      </c>
      <c r="B560" s="624"/>
      <c r="C560" s="624"/>
      <c r="D560" s="624"/>
      <c r="E560" s="624"/>
      <c r="F560" s="165">
        <f>SUM(F554+F559)</f>
        <v>67.25</v>
      </c>
    </row>
    <row r="561" spans="1:6" s="57" customFormat="1" ht="15.75">
      <c r="A561" s="623" t="s">
        <v>84</v>
      </c>
      <c r="B561" s="624"/>
      <c r="C561" s="624"/>
      <c r="D561" s="624"/>
      <c r="E561" s="624"/>
      <c r="F561" s="165">
        <f>F560</f>
        <v>67.25</v>
      </c>
    </row>
    <row r="562" spans="1:6" ht="15.75">
      <c r="A562" s="656" t="s">
        <v>180</v>
      </c>
      <c r="B562" s="656"/>
      <c r="C562" s="656"/>
      <c r="D562" s="656"/>
      <c r="E562" s="656"/>
      <c r="F562" s="656"/>
    </row>
    <row r="563" spans="1:6" ht="15.75">
      <c r="A563" s="22" t="s">
        <v>2</v>
      </c>
      <c r="B563" s="22" t="s">
        <v>62</v>
      </c>
      <c r="C563" s="22" t="s">
        <v>4</v>
      </c>
      <c r="D563" s="22" t="s">
        <v>63</v>
      </c>
      <c r="E563" s="22" t="s">
        <v>64</v>
      </c>
      <c r="F563" s="22" t="s">
        <v>65</v>
      </c>
    </row>
    <row r="564" spans="1:6" ht="15.75">
      <c r="A564" s="114"/>
      <c r="B564" s="617" t="s">
        <v>212</v>
      </c>
      <c r="C564" s="617"/>
      <c r="D564" s="617"/>
      <c r="E564" s="617"/>
      <c r="F564" s="617"/>
    </row>
    <row r="565" spans="1:6" ht="15.75">
      <c r="A565" s="115"/>
      <c r="B565" s="630" t="s">
        <v>66</v>
      </c>
      <c r="C565" s="630"/>
      <c r="D565" s="630"/>
      <c r="E565" s="630"/>
      <c r="F565" s="630"/>
    </row>
    <row r="566" spans="1:6" ht="15.75">
      <c r="A566" s="116" t="s">
        <v>121</v>
      </c>
      <c r="B566" s="117" t="s">
        <v>122</v>
      </c>
      <c r="C566" s="118" t="s">
        <v>69</v>
      </c>
      <c r="D566" s="119">
        <v>1.2</v>
      </c>
      <c r="E566" s="120">
        <v>10.7</v>
      </c>
      <c r="F566" s="121">
        <f>E566*D566</f>
        <v>12.84</v>
      </c>
    </row>
    <row r="567" spans="1:6" ht="15.75">
      <c r="A567" s="122" t="s">
        <v>123</v>
      </c>
      <c r="B567" s="117" t="s">
        <v>124</v>
      </c>
      <c r="C567" s="118" t="s">
        <v>69</v>
      </c>
      <c r="D567" s="119">
        <v>1.85</v>
      </c>
      <c r="E567" s="120">
        <v>8.3800000000000008</v>
      </c>
      <c r="F567" s="121">
        <f>E567*D567</f>
        <v>15.5</v>
      </c>
    </row>
    <row r="568" spans="1:6" ht="15.75">
      <c r="A568" s="631" t="s">
        <v>72</v>
      </c>
      <c r="B568" s="631"/>
      <c r="C568" s="631"/>
      <c r="D568" s="631"/>
      <c r="E568" s="631"/>
      <c r="F568" s="123">
        <f>SUM(F566:F567)</f>
        <v>28.34</v>
      </c>
    </row>
    <row r="569" spans="1:6" ht="15.75">
      <c r="A569" s="631" t="s">
        <v>73</v>
      </c>
      <c r="B569" s="631"/>
      <c r="C569" s="631"/>
      <c r="D569" s="631"/>
      <c r="E569" s="631"/>
      <c r="F569" s="123">
        <f>SUM(F568:F568)</f>
        <v>28.34</v>
      </c>
    </row>
    <row r="570" spans="1:6" ht="15.75">
      <c r="A570" s="124"/>
      <c r="B570" s="630" t="s">
        <v>74</v>
      </c>
      <c r="C570" s="630"/>
      <c r="D570" s="630"/>
      <c r="E570" s="630"/>
      <c r="F570" s="630"/>
    </row>
    <row r="571" spans="1:6" ht="15.75">
      <c r="A571" s="116" t="s">
        <v>134</v>
      </c>
      <c r="B571" s="117" t="s">
        <v>135</v>
      </c>
      <c r="C571" s="118" t="s">
        <v>14</v>
      </c>
      <c r="D571" s="119">
        <v>15.72</v>
      </c>
      <c r="E571" s="120">
        <v>0.64</v>
      </c>
      <c r="F571" s="121">
        <f>E571*D571</f>
        <v>10.06</v>
      </c>
    </row>
    <row r="572" spans="1:6" ht="15.75">
      <c r="A572" s="116" t="s">
        <v>132</v>
      </c>
      <c r="B572" s="117" t="s">
        <v>171</v>
      </c>
      <c r="C572" s="118" t="s">
        <v>8</v>
      </c>
      <c r="D572" s="119">
        <v>4.4299999999999999E-2</v>
      </c>
      <c r="E572" s="121">
        <v>65</v>
      </c>
      <c r="F572" s="121">
        <f>E572*D572</f>
        <v>2.88</v>
      </c>
    </row>
    <row r="573" spans="1:6" ht="15.75">
      <c r="A573" s="631" t="s">
        <v>82</v>
      </c>
      <c r="B573" s="631"/>
      <c r="C573" s="631"/>
      <c r="D573" s="631"/>
      <c r="E573" s="631"/>
      <c r="F573" s="123">
        <f>SUM(F571:F572)</f>
        <v>12.94</v>
      </c>
    </row>
    <row r="574" spans="1:6" ht="15.75">
      <c r="A574" s="622" t="s">
        <v>83</v>
      </c>
      <c r="B574" s="622"/>
      <c r="C574" s="622"/>
      <c r="D574" s="622"/>
      <c r="E574" s="622"/>
      <c r="F574" s="123">
        <f>SUM(F569+F573)</f>
        <v>41.28</v>
      </c>
    </row>
    <row r="575" spans="1:6" ht="15.75">
      <c r="A575" s="622" t="s">
        <v>84</v>
      </c>
      <c r="B575" s="622"/>
      <c r="C575" s="622"/>
      <c r="D575" s="622"/>
      <c r="E575" s="622"/>
      <c r="F575" s="123">
        <f>F574</f>
        <v>41.28</v>
      </c>
    </row>
    <row r="576" spans="1:6" ht="15.75">
      <c r="A576" s="22" t="s">
        <v>2</v>
      </c>
      <c r="B576" s="22" t="s">
        <v>62</v>
      </c>
      <c r="C576" s="22" t="s">
        <v>4</v>
      </c>
      <c r="D576" s="22" t="s">
        <v>63</v>
      </c>
      <c r="E576" s="22" t="s">
        <v>64</v>
      </c>
      <c r="F576" s="22" t="s">
        <v>65</v>
      </c>
    </row>
    <row r="577" spans="1:6" ht="15.75" customHeight="1">
      <c r="A577" s="134"/>
      <c r="B577" s="666" t="s">
        <v>168</v>
      </c>
      <c r="C577" s="666"/>
      <c r="D577" s="666"/>
      <c r="E577" s="666"/>
      <c r="F577" s="666"/>
    </row>
    <row r="578" spans="1:6" ht="15.75">
      <c r="A578" s="135"/>
      <c r="B578" s="630" t="s">
        <v>66</v>
      </c>
      <c r="C578" s="630"/>
      <c r="D578" s="630"/>
      <c r="E578" s="630"/>
      <c r="F578" s="630"/>
    </row>
    <row r="579" spans="1:6" ht="15.75">
      <c r="A579" s="116" t="s">
        <v>121</v>
      </c>
      <c r="B579" s="136" t="s">
        <v>122</v>
      </c>
      <c r="C579" s="137" t="s">
        <v>69</v>
      </c>
      <c r="D579" s="138">
        <f>0.5*0.1</f>
        <v>0.05</v>
      </c>
      <c r="E579" s="120">
        <v>10.7</v>
      </c>
      <c r="F579" s="139">
        <f>E579*D579</f>
        <v>0.54</v>
      </c>
    </row>
    <row r="580" spans="1:6" ht="15.75">
      <c r="A580" s="122" t="s">
        <v>123</v>
      </c>
      <c r="B580" s="136" t="s">
        <v>124</v>
      </c>
      <c r="C580" s="137" t="s">
        <v>69</v>
      </c>
      <c r="D580" s="138">
        <f>1.15*0.1</f>
        <v>0.115</v>
      </c>
      <c r="E580" s="120">
        <v>8.3800000000000008</v>
      </c>
      <c r="F580" s="139">
        <f>E580*D580</f>
        <v>0.96</v>
      </c>
    </row>
    <row r="581" spans="1:6" ht="15.75">
      <c r="A581" s="631" t="s">
        <v>72</v>
      </c>
      <c r="B581" s="631"/>
      <c r="C581" s="631"/>
      <c r="D581" s="631"/>
      <c r="E581" s="631"/>
      <c r="F581" s="140">
        <f>SUM(F579:F580)</f>
        <v>1.5</v>
      </c>
    </row>
    <row r="582" spans="1:6" ht="15.75">
      <c r="A582" s="631" t="s">
        <v>73</v>
      </c>
      <c r="B582" s="631"/>
      <c r="C582" s="631"/>
      <c r="D582" s="631"/>
      <c r="E582" s="631"/>
      <c r="F582" s="140">
        <f>SUM(F581:F581)</f>
        <v>1.5</v>
      </c>
    </row>
    <row r="583" spans="1:6" ht="15.75">
      <c r="A583" s="124"/>
      <c r="B583" s="630" t="s">
        <v>74</v>
      </c>
      <c r="C583" s="630"/>
      <c r="D583" s="630"/>
      <c r="E583" s="630"/>
      <c r="F583" s="630"/>
    </row>
    <row r="584" spans="1:6" ht="15.75">
      <c r="A584" s="116" t="s">
        <v>134</v>
      </c>
      <c r="B584" s="136" t="s">
        <v>135</v>
      </c>
      <c r="C584" s="137" t="s">
        <v>14</v>
      </c>
      <c r="D584" s="138">
        <v>0.97199999999999998</v>
      </c>
      <c r="E584" s="120">
        <v>0.64</v>
      </c>
      <c r="F584" s="139">
        <f>E584*D584</f>
        <v>0.62</v>
      </c>
    </row>
    <row r="585" spans="1:6" ht="15.75">
      <c r="A585" s="141" t="s">
        <v>169</v>
      </c>
      <c r="B585" s="136" t="s">
        <v>170</v>
      </c>
      <c r="C585" s="137" t="s">
        <v>8</v>
      </c>
      <c r="D585" s="138">
        <v>4.4000000000000003E-3</v>
      </c>
      <c r="E585" s="120">
        <v>1273</v>
      </c>
      <c r="F585" s="139">
        <f>E585*D585</f>
        <v>5.6</v>
      </c>
    </row>
    <row r="586" spans="1:6" ht="15.75">
      <c r="A586" s="116" t="s">
        <v>132</v>
      </c>
      <c r="B586" s="136" t="s">
        <v>171</v>
      </c>
      <c r="C586" s="137" t="s">
        <v>8</v>
      </c>
      <c r="D586" s="138">
        <v>2.3999999999999998E-3</v>
      </c>
      <c r="E586" s="139">
        <v>65</v>
      </c>
      <c r="F586" s="139">
        <f>E586*D586</f>
        <v>0.16</v>
      </c>
    </row>
    <row r="587" spans="1:6" ht="15.75">
      <c r="A587" s="631" t="s">
        <v>82</v>
      </c>
      <c r="B587" s="631"/>
      <c r="C587" s="631"/>
      <c r="D587" s="631"/>
      <c r="E587" s="631"/>
      <c r="F587" s="140">
        <f>SUM(F584:F586)</f>
        <v>6.38</v>
      </c>
    </row>
    <row r="588" spans="1:6" ht="15.75">
      <c r="A588" s="633" t="s">
        <v>83</v>
      </c>
      <c r="B588" s="633"/>
      <c r="C588" s="633"/>
      <c r="D588" s="633"/>
      <c r="E588" s="633"/>
      <c r="F588" s="140">
        <f>SUM(F582+F587)</f>
        <v>7.88</v>
      </c>
    </row>
    <row r="589" spans="1:6" ht="15.75">
      <c r="A589" s="633" t="s">
        <v>84</v>
      </c>
      <c r="B589" s="633"/>
      <c r="C589" s="633"/>
      <c r="D589" s="633"/>
      <c r="E589" s="633"/>
      <c r="F589" s="140">
        <f>F588</f>
        <v>7.88</v>
      </c>
    </row>
    <row r="590" spans="1:6" ht="15.75">
      <c r="A590" s="656" t="s">
        <v>181</v>
      </c>
      <c r="B590" s="656"/>
      <c r="C590" s="656"/>
      <c r="D590" s="656"/>
      <c r="E590" s="656"/>
      <c r="F590" s="656"/>
    </row>
    <row r="591" spans="1:6" ht="15.75">
      <c r="A591" s="22" t="s">
        <v>2</v>
      </c>
      <c r="B591" s="22" t="s">
        <v>62</v>
      </c>
      <c r="C591" s="22" t="s">
        <v>4</v>
      </c>
      <c r="D591" s="22" t="s">
        <v>63</v>
      </c>
      <c r="E591" s="22" t="s">
        <v>64</v>
      </c>
      <c r="F591" s="22" t="s">
        <v>65</v>
      </c>
    </row>
    <row r="592" spans="1:6" ht="15.75">
      <c r="A592" s="150"/>
      <c r="B592" s="665" t="s">
        <v>294</v>
      </c>
      <c r="C592" s="665"/>
      <c r="D592" s="665"/>
      <c r="E592" s="665"/>
      <c r="F592" s="665"/>
    </row>
    <row r="593" spans="1:6" ht="15.75">
      <c r="A593" s="151"/>
      <c r="B593" s="630" t="s">
        <v>66</v>
      </c>
      <c r="C593" s="630"/>
      <c r="D593" s="630"/>
      <c r="E593" s="630"/>
      <c r="F593" s="630"/>
    </row>
    <row r="594" spans="1:6" ht="15.75">
      <c r="A594" s="116" t="s">
        <v>121</v>
      </c>
      <c r="B594" s="152" t="s">
        <v>122</v>
      </c>
      <c r="C594" s="153" t="s">
        <v>69</v>
      </c>
      <c r="D594" s="154">
        <v>0.6</v>
      </c>
      <c r="E594" s="120">
        <v>10.7</v>
      </c>
      <c r="F594" s="120">
        <f>E594*D594</f>
        <v>6.42</v>
      </c>
    </row>
    <row r="595" spans="1:6" ht="15.75">
      <c r="A595" s="122" t="s">
        <v>123</v>
      </c>
      <c r="B595" s="152" t="s">
        <v>124</v>
      </c>
      <c r="C595" s="153" t="s">
        <v>69</v>
      </c>
      <c r="D595" s="154">
        <v>0.6</v>
      </c>
      <c r="E595" s="120">
        <v>8.3800000000000008</v>
      </c>
      <c r="F595" s="120">
        <f>E595*D595</f>
        <v>5.03</v>
      </c>
    </row>
    <row r="596" spans="1:6" ht="15.75">
      <c r="A596" s="631" t="s">
        <v>72</v>
      </c>
      <c r="B596" s="631"/>
      <c r="C596" s="631"/>
      <c r="D596" s="631"/>
      <c r="E596" s="631"/>
      <c r="F596" s="233">
        <f>SUM(F594:F595)</f>
        <v>11.45</v>
      </c>
    </row>
    <row r="597" spans="1:6" ht="15.75">
      <c r="A597" s="631" t="s">
        <v>73</v>
      </c>
      <c r="B597" s="631"/>
      <c r="C597" s="631"/>
      <c r="D597" s="631"/>
      <c r="E597" s="631"/>
      <c r="F597" s="155">
        <f>SUM(F596:F596)</f>
        <v>11.45</v>
      </c>
    </row>
    <row r="598" spans="1:6" ht="15.75">
      <c r="A598" s="232"/>
      <c r="B598" s="630" t="s">
        <v>74</v>
      </c>
      <c r="C598" s="630"/>
      <c r="D598" s="630"/>
      <c r="E598" s="630"/>
      <c r="F598" s="630"/>
    </row>
    <row r="599" spans="1:6" ht="15.75">
      <c r="A599" s="116" t="s">
        <v>132</v>
      </c>
      <c r="B599" s="234" t="s">
        <v>172</v>
      </c>
      <c r="C599" s="118" t="s">
        <v>8</v>
      </c>
      <c r="D599" s="119">
        <v>5.8999999999999999E-3</v>
      </c>
      <c r="E599" s="121">
        <v>65</v>
      </c>
      <c r="F599" s="120">
        <f>E599*D599</f>
        <v>0.38</v>
      </c>
    </row>
    <row r="600" spans="1:6" ht="15.75">
      <c r="A600" s="116" t="s">
        <v>173</v>
      </c>
      <c r="B600" s="234" t="s">
        <v>174</v>
      </c>
      <c r="C600" s="118" t="s">
        <v>14</v>
      </c>
      <c r="D600" s="119">
        <v>0.95</v>
      </c>
      <c r="E600" s="121">
        <v>0.94</v>
      </c>
      <c r="F600" s="120">
        <f>E600*D600</f>
        <v>0.89</v>
      </c>
    </row>
    <row r="601" spans="1:6" ht="15.75">
      <c r="A601" s="116" t="s">
        <v>134</v>
      </c>
      <c r="B601" s="117" t="s">
        <v>175</v>
      </c>
      <c r="C601" s="118" t="s">
        <v>14</v>
      </c>
      <c r="D601" s="119">
        <v>1.91</v>
      </c>
      <c r="E601" s="120">
        <v>0.64</v>
      </c>
      <c r="F601" s="120">
        <f>E601*D601</f>
        <v>1.22</v>
      </c>
    </row>
    <row r="602" spans="1:6" ht="31.5">
      <c r="A602" s="116" t="s">
        <v>176</v>
      </c>
      <c r="B602" s="117" t="s">
        <v>177</v>
      </c>
      <c r="C602" s="118" t="s">
        <v>14</v>
      </c>
      <c r="D602" s="119">
        <v>0.1</v>
      </c>
      <c r="E602" s="121">
        <v>2.68</v>
      </c>
      <c r="F602" s="120">
        <f>E602*D602</f>
        <v>0.27</v>
      </c>
    </row>
    <row r="603" spans="1:6" ht="15.75">
      <c r="A603" s="122" t="s">
        <v>178</v>
      </c>
      <c r="B603" s="117" t="s">
        <v>179</v>
      </c>
      <c r="C603" s="118" t="s">
        <v>11</v>
      </c>
      <c r="D603" s="119">
        <v>1</v>
      </c>
      <c r="E603" s="121">
        <v>290</v>
      </c>
      <c r="F603" s="120">
        <f>E603*D603</f>
        <v>290</v>
      </c>
    </row>
    <row r="604" spans="1:6" ht="15.75">
      <c r="A604" s="631" t="s">
        <v>82</v>
      </c>
      <c r="B604" s="631"/>
      <c r="C604" s="631"/>
      <c r="D604" s="631"/>
      <c r="E604" s="631"/>
      <c r="F604" s="155">
        <f>SUM(F599:F603)</f>
        <v>292.76</v>
      </c>
    </row>
    <row r="605" spans="1:6" ht="15.75">
      <c r="A605" s="635" t="s">
        <v>83</v>
      </c>
      <c r="B605" s="635"/>
      <c r="C605" s="635"/>
      <c r="D605" s="635"/>
      <c r="E605" s="635"/>
      <c r="F605" s="155">
        <f>SUM(F597+F604)</f>
        <v>304.20999999999998</v>
      </c>
    </row>
    <row r="606" spans="1:6" ht="15.75">
      <c r="A606" s="635" t="s">
        <v>84</v>
      </c>
      <c r="B606" s="635"/>
      <c r="C606" s="635"/>
      <c r="D606" s="635"/>
      <c r="E606" s="635"/>
      <c r="F606" s="155">
        <f>F605</f>
        <v>304.20999999999998</v>
      </c>
    </row>
    <row r="607" spans="1:6" ht="16.5" thickBot="1">
      <c r="A607" s="656" t="s">
        <v>52</v>
      </c>
      <c r="B607" s="656"/>
      <c r="C607" s="656"/>
      <c r="D607" s="656"/>
      <c r="E607" s="656"/>
      <c r="F607" s="656"/>
    </row>
    <row r="608" spans="1:6" ht="15.75">
      <c r="A608" s="68" t="s">
        <v>2</v>
      </c>
      <c r="B608" s="69" t="s">
        <v>62</v>
      </c>
      <c r="C608" s="69" t="s">
        <v>4</v>
      </c>
      <c r="D608" s="69" t="s">
        <v>63</v>
      </c>
      <c r="E608" s="69" t="s">
        <v>64</v>
      </c>
      <c r="F608" s="69" t="s">
        <v>65</v>
      </c>
    </row>
    <row r="609" spans="1:6" ht="15.75">
      <c r="A609" s="193"/>
      <c r="B609" s="667" t="s">
        <v>397</v>
      </c>
      <c r="C609" s="667"/>
      <c r="D609" s="667"/>
      <c r="E609" s="667"/>
      <c r="F609" s="668"/>
    </row>
    <row r="610" spans="1:6" ht="15.75">
      <c r="A610" s="194"/>
      <c r="B610" s="611" t="s">
        <v>66</v>
      </c>
      <c r="C610" s="611"/>
      <c r="D610" s="611"/>
      <c r="E610" s="611"/>
      <c r="F610" s="612"/>
    </row>
    <row r="611" spans="1:6" ht="15.75">
      <c r="A611" s="211">
        <v>4750</v>
      </c>
      <c r="B611" s="195" t="s">
        <v>122</v>
      </c>
      <c r="C611" s="196" t="s">
        <v>69</v>
      </c>
      <c r="D611" s="197">
        <v>1.4</v>
      </c>
      <c r="E611" s="121">
        <v>10.7</v>
      </c>
      <c r="F611" s="198">
        <f>E611*D611</f>
        <v>14.98</v>
      </c>
    </row>
    <row r="612" spans="1:6" ht="15.75">
      <c r="A612" s="238">
        <v>6127</v>
      </c>
      <c r="B612" s="195" t="s">
        <v>124</v>
      </c>
      <c r="C612" s="196" t="s">
        <v>69</v>
      </c>
      <c r="D612" s="197">
        <v>1.4</v>
      </c>
      <c r="E612" s="121">
        <v>8.3800000000000008</v>
      </c>
      <c r="F612" s="198">
        <f>E612*D612</f>
        <v>11.73</v>
      </c>
    </row>
    <row r="613" spans="1:6" ht="15.75">
      <c r="A613" s="620" t="s">
        <v>72</v>
      </c>
      <c r="B613" s="614"/>
      <c r="C613" s="614"/>
      <c r="D613" s="614"/>
      <c r="E613" s="614"/>
      <c r="F613" s="199">
        <f>SUM(F611:F612)</f>
        <v>26.71</v>
      </c>
    </row>
    <row r="614" spans="1:6" ht="15.75">
      <c r="A614" s="620" t="s">
        <v>73</v>
      </c>
      <c r="B614" s="614"/>
      <c r="C614" s="614"/>
      <c r="D614" s="614"/>
      <c r="E614" s="614"/>
      <c r="F614" s="199">
        <f>SUM(F613:F613)</f>
        <v>26.71</v>
      </c>
    </row>
    <row r="615" spans="1:6" ht="15.75">
      <c r="A615" s="236"/>
      <c r="B615" s="611" t="s">
        <v>74</v>
      </c>
      <c r="C615" s="611"/>
      <c r="D615" s="611"/>
      <c r="E615" s="611"/>
      <c r="F615" s="612"/>
    </row>
    <row r="616" spans="1:6" ht="15.75">
      <c r="A616" s="211">
        <v>1379</v>
      </c>
      <c r="B616" s="195" t="s">
        <v>135</v>
      </c>
      <c r="C616" s="196" t="s">
        <v>14</v>
      </c>
      <c r="D616" s="197">
        <v>1.72</v>
      </c>
      <c r="E616" s="201">
        <v>0.64</v>
      </c>
      <c r="F616" s="198">
        <f t="shared" ref="F616:F624" si="3">E616*D616</f>
        <v>1.1000000000000001</v>
      </c>
    </row>
    <row r="617" spans="1:6" ht="15.75">
      <c r="A617" s="211">
        <v>370</v>
      </c>
      <c r="B617" s="195" t="s">
        <v>133</v>
      </c>
      <c r="C617" s="196" t="s">
        <v>8</v>
      </c>
      <c r="D617" s="197">
        <v>1.06E-2</v>
      </c>
      <c r="E617" s="201">
        <v>65</v>
      </c>
      <c r="F617" s="198">
        <f t="shared" si="3"/>
        <v>0.69</v>
      </c>
    </row>
    <row r="618" spans="1:6" ht="15.75">
      <c r="A618" s="202">
        <v>5067</v>
      </c>
      <c r="B618" s="195" t="s">
        <v>398</v>
      </c>
      <c r="C618" s="196" t="s">
        <v>14</v>
      </c>
      <c r="D618" s="197">
        <v>0.2</v>
      </c>
      <c r="E618" s="201">
        <v>6.79</v>
      </c>
      <c r="F618" s="198">
        <f t="shared" si="3"/>
        <v>1.36</v>
      </c>
    </row>
    <row r="619" spans="1:6" ht="31.5">
      <c r="A619" s="202">
        <v>13363</v>
      </c>
      <c r="B619" s="195" t="s">
        <v>399</v>
      </c>
      <c r="C619" s="196" t="s">
        <v>18</v>
      </c>
      <c r="D619" s="197">
        <v>1</v>
      </c>
      <c r="E619" s="201">
        <v>201.96</v>
      </c>
      <c r="F619" s="198">
        <f t="shared" si="3"/>
        <v>201.96</v>
      </c>
    </row>
    <row r="620" spans="1:6" ht="31.5">
      <c r="A620" s="239">
        <v>27399</v>
      </c>
      <c r="B620" s="160" t="s">
        <v>400</v>
      </c>
      <c r="C620" s="196" t="s">
        <v>23</v>
      </c>
      <c r="D620" s="162">
        <v>1</v>
      </c>
      <c r="E620" s="163">
        <v>64.59</v>
      </c>
      <c r="F620" s="164">
        <f t="shared" si="3"/>
        <v>64.59</v>
      </c>
    </row>
    <row r="621" spans="1:6" ht="15.75">
      <c r="A621" s="202">
        <v>194</v>
      </c>
      <c r="B621" s="195" t="s">
        <v>401</v>
      </c>
      <c r="C621" s="196" t="s">
        <v>23</v>
      </c>
      <c r="D621" s="197">
        <v>1</v>
      </c>
      <c r="E621" s="201">
        <v>23.96</v>
      </c>
      <c r="F621" s="198">
        <f t="shared" si="3"/>
        <v>23.96</v>
      </c>
    </row>
    <row r="622" spans="1:6" ht="15.75">
      <c r="A622" s="202">
        <v>20007</v>
      </c>
      <c r="B622" s="195" t="s">
        <v>402</v>
      </c>
      <c r="C622" s="196" t="s">
        <v>17</v>
      </c>
      <c r="D622" s="197">
        <v>5.0999999999999996</v>
      </c>
      <c r="E622" s="201">
        <v>3.04</v>
      </c>
      <c r="F622" s="198">
        <f t="shared" si="3"/>
        <v>15.5</v>
      </c>
    </row>
    <row r="623" spans="1:6" ht="15.75">
      <c r="A623" s="202">
        <v>2433</v>
      </c>
      <c r="B623" s="195" t="s">
        <v>403</v>
      </c>
      <c r="C623" s="196" t="s">
        <v>18</v>
      </c>
      <c r="D623" s="197">
        <v>3</v>
      </c>
      <c r="E623" s="201">
        <v>2.4</v>
      </c>
      <c r="F623" s="198">
        <f t="shared" si="3"/>
        <v>7.2</v>
      </c>
    </row>
    <row r="624" spans="1:6" ht="15.75">
      <c r="A624" s="202">
        <v>3080</v>
      </c>
      <c r="B624" s="195" t="s">
        <v>404</v>
      </c>
      <c r="C624" s="196" t="s">
        <v>23</v>
      </c>
      <c r="D624" s="197">
        <v>1</v>
      </c>
      <c r="E624" s="201">
        <v>32</v>
      </c>
      <c r="F624" s="198">
        <f t="shared" si="3"/>
        <v>32</v>
      </c>
    </row>
    <row r="625" spans="1:7" ht="15.75">
      <c r="A625" s="620" t="s">
        <v>82</v>
      </c>
      <c r="B625" s="614"/>
      <c r="C625" s="614"/>
      <c r="D625" s="614"/>
      <c r="E625" s="614"/>
      <c r="F625" s="199">
        <f>SUM(F616:F624)</f>
        <v>348.36</v>
      </c>
    </row>
    <row r="626" spans="1:7" ht="15.75">
      <c r="A626" s="609" t="s">
        <v>83</v>
      </c>
      <c r="B626" s="610"/>
      <c r="C626" s="610"/>
      <c r="D626" s="610"/>
      <c r="E626" s="610"/>
      <c r="F626" s="199">
        <f>SUM(F614+F625)</f>
        <v>375.07</v>
      </c>
    </row>
    <row r="627" spans="1:7" ht="15.75">
      <c r="A627" s="609" t="s">
        <v>84</v>
      </c>
      <c r="B627" s="610"/>
      <c r="C627" s="610"/>
      <c r="D627" s="610"/>
      <c r="E627" s="610"/>
      <c r="F627" s="199">
        <f>F626</f>
        <v>375.07</v>
      </c>
    </row>
    <row r="628" spans="1:7" ht="15.75">
      <c r="A628" s="22" t="s">
        <v>2</v>
      </c>
      <c r="B628" s="22" t="s">
        <v>62</v>
      </c>
      <c r="C628" s="22" t="s">
        <v>4</v>
      </c>
      <c r="D628" s="22" t="s">
        <v>63</v>
      </c>
      <c r="E628" s="22" t="s">
        <v>64</v>
      </c>
      <c r="F628" s="22" t="s">
        <v>65</v>
      </c>
    </row>
    <row r="629" spans="1:7" ht="30" customHeight="1">
      <c r="A629" s="134"/>
      <c r="B629" s="666" t="s">
        <v>295</v>
      </c>
      <c r="C629" s="666"/>
      <c r="D629" s="666"/>
      <c r="E629" s="666"/>
      <c r="F629" s="666"/>
    </row>
    <row r="630" spans="1:7" ht="15.75">
      <c r="A630" s="135"/>
      <c r="B630" s="630" t="s">
        <v>66</v>
      </c>
      <c r="C630" s="630"/>
      <c r="D630" s="630"/>
      <c r="E630" s="630"/>
      <c r="F630" s="630"/>
    </row>
    <row r="631" spans="1:7" ht="15.75">
      <c r="A631" s="116" t="s">
        <v>121</v>
      </c>
      <c r="B631" s="136" t="s">
        <v>122</v>
      </c>
      <c r="C631" s="137" t="s">
        <v>69</v>
      </c>
      <c r="D631" s="138">
        <v>2.2000000000000002</v>
      </c>
      <c r="E631" s="120">
        <v>10.7</v>
      </c>
      <c r="F631" s="139">
        <f>E631*D631</f>
        <v>23.54</v>
      </c>
    </row>
    <row r="632" spans="1:7" ht="15.75">
      <c r="A632" s="122" t="s">
        <v>123</v>
      </c>
      <c r="B632" s="136" t="s">
        <v>124</v>
      </c>
      <c r="C632" s="137" t="s">
        <v>69</v>
      </c>
      <c r="D632" s="138">
        <v>1.1000000000000001</v>
      </c>
      <c r="E632" s="120">
        <v>8.3800000000000008</v>
      </c>
      <c r="F632" s="139">
        <f>E632*D632</f>
        <v>9.2200000000000006</v>
      </c>
    </row>
    <row r="633" spans="1:7" ht="15.75">
      <c r="A633" s="631" t="s">
        <v>72</v>
      </c>
      <c r="B633" s="631"/>
      <c r="C633" s="631"/>
      <c r="D633" s="631"/>
      <c r="E633" s="631"/>
      <c r="F633" s="140">
        <f>SUM(F631:F632)</f>
        <v>32.76</v>
      </c>
    </row>
    <row r="634" spans="1:7" ht="15.75">
      <c r="A634" s="631" t="s">
        <v>73</v>
      </c>
      <c r="B634" s="631"/>
      <c r="C634" s="631"/>
      <c r="D634" s="631"/>
      <c r="E634" s="631"/>
      <c r="F634" s="140">
        <f>SUM(F633:F633)</f>
        <v>32.76</v>
      </c>
    </row>
    <row r="635" spans="1:7" ht="15.75">
      <c r="A635" s="124"/>
      <c r="B635" s="630" t="s">
        <v>74</v>
      </c>
      <c r="C635" s="630"/>
      <c r="D635" s="630"/>
      <c r="E635" s="630"/>
      <c r="F635" s="630"/>
    </row>
    <row r="636" spans="1:7" ht="15.75">
      <c r="A636" s="116" t="s">
        <v>134</v>
      </c>
      <c r="B636" s="136" t="s">
        <v>135</v>
      </c>
      <c r="C636" s="137" t="s">
        <v>14</v>
      </c>
      <c r="D636" s="138">
        <v>1.94</v>
      </c>
      <c r="E636" s="120">
        <v>0.64</v>
      </c>
      <c r="F636" s="139">
        <f>E636*D636</f>
        <v>1.24</v>
      </c>
    </row>
    <row r="637" spans="1:7" ht="15.75">
      <c r="A637" s="116" t="s">
        <v>132</v>
      </c>
      <c r="B637" s="156" t="s">
        <v>133</v>
      </c>
      <c r="C637" s="137" t="s">
        <v>8</v>
      </c>
      <c r="D637" s="138">
        <v>4.8999999999999998E-3</v>
      </c>
      <c r="E637" s="120">
        <v>65</v>
      </c>
      <c r="F637" s="139">
        <f>E637*D637</f>
        <v>0.32</v>
      </c>
    </row>
    <row r="638" spans="1:7" ht="15.75">
      <c r="A638" s="122" t="s">
        <v>411</v>
      </c>
      <c r="B638" s="136" t="s">
        <v>410</v>
      </c>
      <c r="C638" s="137" t="s">
        <v>412</v>
      </c>
      <c r="D638" s="138">
        <v>1</v>
      </c>
      <c r="E638" s="139">
        <v>62.98</v>
      </c>
      <c r="F638" s="139">
        <f>E638*D638</f>
        <v>62.98</v>
      </c>
      <c r="G638" s="242"/>
    </row>
    <row r="639" spans="1:7" ht="15.75">
      <c r="A639" s="122" t="s">
        <v>289</v>
      </c>
      <c r="B639" s="136" t="s">
        <v>183</v>
      </c>
      <c r="C639" s="137" t="s">
        <v>11</v>
      </c>
      <c r="D639" s="138">
        <f>2*1.1</f>
        <v>2.2000000000000002</v>
      </c>
      <c r="E639" s="139">
        <v>260</v>
      </c>
      <c r="F639" s="139">
        <f>E639*D639</f>
        <v>572</v>
      </c>
    </row>
    <row r="640" spans="1:7" ht="15.75">
      <c r="A640" s="631" t="s">
        <v>82</v>
      </c>
      <c r="B640" s="631"/>
      <c r="C640" s="631"/>
      <c r="D640" s="631"/>
      <c r="E640" s="631"/>
      <c r="F640" s="140">
        <f>SUM(F636:F639)</f>
        <v>636.54</v>
      </c>
    </row>
    <row r="641" spans="1:6" ht="15.75">
      <c r="A641" s="633" t="s">
        <v>83</v>
      </c>
      <c r="B641" s="633"/>
      <c r="C641" s="633"/>
      <c r="D641" s="633"/>
      <c r="E641" s="633"/>
      <c r="F641" s="140">
        <f>SUM(F634+F640)</f>
        <v>669.3</v>
      </c>
    </row>
    <row r="642" spans="1:6" ht="15.75">
      <c r="A642" s="633" t="s">
        <v>84</v>
      </c>
      <c r="B642" s="633"/>
      <c r="C642" s="633"/>
      <c r="D642" s="633"/>
      <c r="E642" s="633"/>
      <c r="F642" s="140">
        <f>F641</f>
        <v>669.3</v>
      </c>
    </row>
    <row r="643" spans="1:6" ht="15.75">
      <c r="A643" s="22" t="s">
        <v>2</v>
      </c>
      <c r="B643" s="22" t="s">
        <v>62</v>
      </c>
      <c r="C643" s="22" t="s">
        <v>4</v>
      </c>
      <c r="D643" s="22" t="s">
        <v>63</v>
      </c>
      <c r="E643" s="22" t="s">
        <v>64</v>
      </c>
      <c r="F643" s="22" t="s">
        <v>65</v>
      </c>
    </row>
    <row r="644" spans="1:6" ht="33" customHeight="1">
      <c r="A644" s="150"/>
      <c r="B644" s="665" t="s">
        <v>299</v>
      </c>
      <c r="C644" s="665"/>
      <c r="D644" s="665"/>
      <c r="E644" s="665"/>
      <c r="F644" s="665"/>
    </row>
    <row r="645" spans="1:6" ht="15.75">
      <c r="A645" s="151"/>
      <c r="B645" s="630" t="s">
        <v>66</v>
      </c>
      <c r="C645" s="630"/>
      <c r="D645" s="630"/>
      <c r="E645" s="630"/>
      <c r="F645" s="630"/>
    </row>
    <row r="646" spans="1:6" ht="15.75">
      <c r="A646" s="116" t="s">
        <v>121</v>
      </c>
      <c r="B646" s="152" t="s">
        <v>122</v>
      </c>
      <c r="C646" s="153" t="s">
        <v>69</v>
      </c>
      <c r="D646" s="154">
        <v>3.5</v>
      </c>
      <c r="E646" s="120">
        <v>10.7</v>
      </c>
      <c r="F646" s="120">
        <f>E646*D646</f>
        <v>37.450000000000003</v>
      </c>
    </row>
    <row r="647" spans="1:6" ht="15.75">
      <c r="A647" s="122" t="s">
        <v>123</v>
      </c>
      <c r="B647" s="152" t="s">
        <v>124</v>
      </c>
      <c r="C647" s="153" t="s">
        <v>69</v>
      </c>
      <c r="D647" s="154">
        <v>3.5</v>
      </c>
      <c r="E647" s="120">
        <v>8.3800000000000008</v>
      </c>
      <c r="F647" s="120">
        <f>E647*D647</f>
        <v>29.33</v>
      </c>
    </row>
    <row r="648" spans="1:6" ht="15.75">
      <c r="A648" s="631" t="s">
        <v>72</v>
      </c>
      <c r="B648" s="631"/>
      <c r="C648" s="631"/>
      <c r="D648" s="631"/>
      <c r="E648" s="631"/>
      <c r="F648" s="155">
        <f>SUM(F646:F647)</f>
        <v>66.78</v>
      </c>
    </row>
    <row r="649" spans="1:6" ht="15.75">
      <c r="A649" s="631" t="s">
        <v>73</v>
      </c>
      <c r="B649" s="631"/>
      <c r="C649" s="631"/>
      <c r="D649" s="631"/>
      <c r="E649" s="631"/>
      <c r="F649" s="155">
        <f>SUM(F648:F648)</f>
        <v>66.78</v>
      </c>
    </row>
    <row r="650" spans="1:6" ht="15.75">
      <c r="A650" s="124"/>
      <c r="B650" s="630" t="s">
        <v>74</v>
      </c>
      <c r="C650" s="630"/>
      <c r="D650" s="630"/>
      <c r="E650" s="630"/>
      <c r="F650" s="630"/>
    </row>
    <row r="651" spans="1:6" ht="15.75">
      <c r="A651" s="116" t="s">
        <v>134</v>
      </c>
      <c r="B651" s="152" t="s">
        <v>135</v>
      </c>
      <c r="C651" s="153" t="s">
        <v>14</v>
      </c>
      <c r="D651" s="154">
        <v>1.2</v>
      </c>
      <c r="E651" s="120">
        <v>0.64</v>
      </c>
      <c r="F651" s="120">
        <f>E651*D651</f>
        <v>0.77</v>
      </c>
    </row>
    <row r="652" spans="1:6" ht="15.75">
      <c r="A652" s="116" t="s">
        <v>132</v>
      </c>
      <c r="B652" s="152" t="s">
        <v>133</v>
      </c>
      <c r="C652" s="153" t="s">
        <v>8</v>
      </c>
      <c r="D652" s="154">
        <v>3.3999999999999998E-3</v>
      </c>
      <c r="E652" s="120">
        <v>65</v>
      </c>
      <c r="F652" s="120">
        <f>E652*D652</f>
        <v>0.22</v>
      </c>
    </row>
    <row r="653" spans="1:6" ht="78.75">
      <c r="A653" s="116" t="s">
        <v>184</v>
      </c>
      <c r="B653" s="152" t="s">
        <v>185</v>
      </c>
      <c r="C653" s="153" t="s">
        <v>18</v>
      </c>
      <c r="D653" s="154">
        <v>1</v>
      </c>
      <c r="E653" s="120">
        <v>270.49</v>
      </c>
      <c r="F653" s="120">
        <f>E653*D653</f>
        <v>270.49</v>
      </c>
    </row>
    <row r="654" spans="1:6" ht="31.5">
      <c r="A654" s="122" t="s">
        <v>186</v>
      </c>
      <c r="B654" s="152" t="s">
        <v>187</v>
      </c>
      <c r="C654" s="153" t="s">
        <v>11</v>
      </c>
      <c r="D654" s="154">
        <f>4*2.1</f>
        <v>8.4</v>
      </c>
      <c r="E654" s="120">
        <v>251.13</v>
      </c>
      <c r="F654" s="120">
        <f>E654*D654</f>
        <v>2109.4899999999998</v>
      </c>
    </row>
    <row r="655" spans="1:6" ht="15.75">
      <c r="A655" s="631" t="s">
        <v>82</v>
      </c>
      <c r="B655" s="631"/>
      <c r="C655" s="631"/>
      <c r="D655" s="631"/>
      <c r="E655" s="631"/>
      <c r="F655" s="155">
        <f>SUM(F651:F654)</f>
        <v>2380.9699999999998</v>
      </c>
    </row>
    <row r="656" spans="1:6" ht="15.75">
      <c r="A656" s="635" t="s">
        <v>83</v>
      </c>
      <c r="B656" s="635"/>
      <c r="C656" s="635"/>
      <c r="D656" s="635"/>
      <c r="E656" s="635"/>
      <c r="F656" s="155">
        <f>SUM(F649+F655)</f>
        <v>2447.75</v>
      </c>
    </row>
    <row r="657" spans="1:6" ht="15.75">
      <c r="A657" s="635" t="s">
        <v>84</v>
      </c>
      <c r="B657" s="635"/>
      <c r="C657" s="635"/>
      <c r="D657" s="635"/>
      <c r="E657" s="635"/>
      <c r="F657" s="155">
        <f>F656</f>
        <v>2447.75</v>
      </c>
    </row>
    <row r="658" spans="1:6" ht="15.75">
      <c r="A658" s="656" t="s">
        <v>53</v>
      </c>
      <c r="B658" s="656"/>
      <c r="C658" s="656"/>
      <c r="D658" s="656"/>
      <c r="E658" s="656"/>
      <c r="F658" s="656"/>
    </row>
    <row r="659" spans="1:6" ht="15.75">
      <c r="A659" s="22" t="s">
        <v>2</v>
      </c>
      <c r="B659" s="22" t="s">
        <v>62</v>
      </c>
      <c r="C659" s="22" t="s">
        <v>4</v>
      </c>
      <c r="D659" s="22" t="s">
        <v>63</v>
      </c>
      <c r="E659" s="22" t="s">
        <v>64</v>
      </c>
      <c r="F659" s="22" t="s">
        <v>65</v>
      </c>
    </row>
    <row r="660" spans="1:6" ht="15.75">
      <c r="A660" s="167"/>
      <c r="B660" s="663" t="s">
        <v>188</v>
      </c>
      <c r="C660" s="663"/>
      <c r="D660" s="663"/>
      <c r="E660" s="663"/>
      <c r="F660" s="663"/>
    </row>
    <row r="661" spans="1:6" ht="15.75">
      <c r="A661" s="168"/>
      <c r="B661" s="630" t="s">
        <v>66</v>
      </c>
      <c r="C661" s="630"/>
      <c r="D661" s="630"/>
      <c r="E661" s="630"/>
      <c r="F661" s="630"/>
    </row>
    <row r="662" spans="1:6" ht="15.75">
      <c r="A662" s="116" t="s">
        <v>121</v>
      </c>
      <c r="B662" s="169" t="s">
        <v>122</v>
      </c>
      <c r="C662" s="170" t="s">
        <v>69</v>
      </c>
      <c r="D662" s="197">
        <v>2.5</v>
      </c>
      <c r="E662" s="120">
        <v>10.7</v>
      </c>
      <c r="F662" s="172">
        <f>D662*E662</f>
        <v>26.75</v>
      </c>
    </row>
    <row r="663" spans="1:6" ht="15.75">
      <c r="A663" s="122" t="s">
        <v>123</v>
      </c>
      <c r="B663" s="169" t="s">
        <v>124</v>
      </c>
      <c r="C663" s="170" t="s">
        <v>69</v>
      </c>
      <c r="D663" s="197">
        <v>2.5</v>
      </c>
      <c r="E663" s="120">
        <v>8.3800000000000008</v>
      </c>
      <c r="F663" s="172">
        <f>D663*E663</f>
        <v>20.95</v>
      </c>
    </row>
    <row r="664" spans="1:6" ht="15.75">
      <c r="A664" s="631" t="s">
        <v>72</v>
      </c>
      <c r="B664" s="631"/>
      <c r="C664" s="631"/>
      <c r="D664" s="631"/>
      <c r="E664" s="631"/>
      <c r="F664" s="173">
        <f>SUM(F662:F663)</f>
        <v>47.7</v>
      </c>
    </row>
    <row r="665" spans="1:6" ht="15.75">
      <c r="A665" s="631" t="s">
        <v>73</v>
      </c>
      <c r="B665" s="631"/>
      <c r="C665" s="631"/>
      <c r="D665" s="631"/>
      <c r="E665" s="631"/>
      <c r="F665" s="173">
        <f>SUM(F664:F664)</f>
        <v>47.7</v>
      </c>
    </row>
    <row r="666" spans="1:6" ht="15.75">
      <c r="A666" s="168"/>
      <c r="B666" s="630" t="s">
        <v>74</v>
      </c>
      <c r="C666" s="630"/>
      <c r="D666" s="630"/>
      <c r="E666" s="630"/>
      <c r="F666" s="630"/>
    </row>
    <row r="667" spans="1:6" ht="15.75">
      <c r="A667" s="122" t="s">
        <v>189</v>
      </c>
      <c r="B667" s="169" t="s">
        <v>190</v>
      </c>
      <c r="C667" s="170" t="s">
        <v>18</v>
      </c>
      <c r="D667" s="171">
        <v>16</v>
      </c>
      <c r="E667" s="172">
        <v>0.2</v>
      </c>
      <c r="F667" s="172">
        <f>D667*E667</f>
        <v>3.2</v>
      </c>
    </row>
    <row r="668" spans="1:6" ht="31.5">
      <c r="A668" s="122" t="s">
        <v>191</v>
      </c>
      <c r="B668" s="169" t="s">
        <v>192</v>
      </c>
      <c r="C668" s="170" t="s">
        <v>18</v>
      </c>
      <c r="D668" s="171">
        <v>16</v>
      </c>
      <c r="E668" s="172">
        <v>0.3</v>
      </c>
      <c r="F668" s="172">
        <f>D668*E668</f>
        <v>4.8</v>
      </c>
    </row>
    <row r="669" spans="1:6" ht="31.5">
      <c r="A669" s="221" t="s">
        <v>405</v>
      </c>
      <c r="B669" s="169" t="s">
        <v>194</v>
      </c>
      <c r="C669" s="170" t="s">
        <v>18</v>
      </c>
      <c r="D669" s="171">
        <v>1</v>
      </c>
      <c r="E669" s="172">
        <v>64.59</v>
      </c>
      <c r="F669" s="172">
        <f>D669*E669</f>
        <v>64.59</v>
      </c>
    </row>
    <row r="670" spans="1:6" ht="15.75">
      <c r="A670" s="631" t="s">
        <v>82</v>
      </c>
      <c r="B670" s="631"/>
      <c r="C670" s="631"/>
      <c r="D670" s="631"/>
      <c r="E670" s="631"/>
      <c r="F670" s="173">
        <f>SUM(F667:F669)</f>
        <v>72.59</v>
      </c>
    </row>
    <row r="671" spans="1:6" ht="15.75">
      <c r="A671" s="664" t="s">
        <v>83</v>
      </c>
      <c r="B671" s="664"/>
      <c r="C671" s="664"/>
      <c r="D671" s="664"/>
      <c r="E671" s="664"/>
      <c r="F671" s="173">
        <f>SUM(F665+F670)</f>
        <v>120.29</v>
      </c>
    </row>
    <row r="672" spans="1:6" ht="15.75">
      <c r="A672" s="664" t="s">
        <v>84</v>
      </c>
      <c r="B672" s="664"/>
      <c r="C672" s="664"/>
      <c r="D672" s="664"/>
      <c r="E672" s="664"/>
      <c r="F672" s="173">
        <f>F671</f>
        <v>120.29</v>
      </c>
    </row>
    <row r="673" spans="1:6" ht="15.75">
      <c r="A673" s="22" t="s">
        <v>2</v>
      </c>
      <c r="B673" s="22" t="s">
        <v>62</v>
      </c>
      <c r="C673" s="22" t="s">
        <v>4</v>
      </c>
      <c r="D673" s="22" t="s">
        <v>63</v>
      </c>
      <c r="E673" s="22" t="s">
        <v>64</v>
      </c>
      <c r="F673" s="22" t="s">
        <v>65</v>
      </c>
    </row>
    <row r="674" spans="1:6" ht="15.75">
      <c r="A674" s="176"/>
      <c r="B674" s="632" t="s">
        <v>195</v>
      </c>
      <c r="C674" s="632"/>
      <c r="D674" s="632"/>
      <c r="E674" s="632"/>
      <c r="F674" s="632"/>
    </row>
    <row r="675" spans="1:6" ht="15.75">
      <c r="A675" s="135"/>
      <c r="B675" s="630" t="s">
        <v>66</v>
      </c>
      <c r="C675" s="630"/>
      <c r="D675" s="630"/>
      <c r="E675" s="630"/>
      <c r="F675" s="630"/>
    </row>
    <row r="676" spans="1:6" ht="15.75">
      <c r="A676" s="116" t="s">
        <v>121</v>
      </c>
      <c r="B676" s="177" t="s">
        <v>122</v>
      </c>
      <c r="C676" s="137" t="s">
        <v>69</v>
      </c>
      <c r="D676" s="138">
        <v>3</v>
      </c>
      <c r="E676" s="120">
        <v>10.7</v>
      </c>
      <c r="F676" s="139">
        <f>E676*D676</f>
        <v>32.1</v>
      </c>
    </row>
    <row r="677" spans="1:6" ht="15.75">
      <c r="A677" s="122" t="s">
        <v>123</v>
      </c>
      <c r="B677" s="136" t="s">
        <v>124</v>
      </c>
      <c r="C677" s="137" t="s">
        <v>69</v>
      </c>
      <c r="D677" s="138">
        <v>2</v>
      </c>
      <c r="E677" s="120">
        <v>8.3800000000000008</v>
      </c>
      <c r="F677" s="139">
        <f>E677*D677</f>
        <v>16.760000000000002</v>
      </c>
    </row>
    <row r="678" spans="1:6" ht="15.75">
      <c r="A678" s="631" t="s">
        <v>72</v>
      </c>
      <c r="B678" s="631"/>
      <c r="C678" s="631"/>
      <c r="D678" s="631"/>
      <c r="E678" s="631"/>
      <c r="F678" s="140">
        <f>SUM(F676:F677)</f>
        <v>48.86</v>
      </c>
    </row>
    <row r="679" spans="1:6" ht="15.75">
      <c r="A679" s="631" t="s">
        <v>73</v>
      </c>
      <c r="B679" s="631"/>
      <c r="C679" s="631"/>
      <c r="D679" s="631"/>
      <c r="E679" s="631"/>
      <c r="F679" s="140">
        <f>SUM(F678:F678)</f>
        <v>48.86</v>
      </c>
    </row>
    <row r="680" spans="1:6" ht="15.75">
      <c r="A680" s="157"/>
      <c r="B680" s="630" t="s">
        <v>74</v>
      </c>
      <c r="C680" s="630"/>
      <c r="D680" s="630"/>
      <c r="E680" s="630"/>
      <c r="F680" s="630"/>
    </row>
    <row r="681" spans="1:6" ht="15.75">
      <c r="A681" s="116" t="s">
        <v>134</v>
      </c>
      <c r="B681" s="136" t="s">
        <v>135</v>
      </c>
      <c r="C681" s="137" t="s">
        <v>14</v>
      </c>
      <c r="D681" s="138">
        <v>10</v>
      </c>
      <c r="E681" s="121">
        <v>0.64</v>
      </c>
      <c r="F681" s="139">
        <f>E681*D681</f>
        <v>6.4</v>
      </c>
    </row>
    <row r="682" spans="1:6" ht="15.75">
      <c r="A682" s="116" t="s">
        <v>132</v>
      </c>
      <c r="B682" s="156" t="s">
        <v>133</v>
      </c>
      <c r="C682" s="137" t="s">
        <v>8</v>
      </c>
      <c r="D682" s="138">
        <v>0.02</v>
      </c>
      <c r="E682" s="121">
        <v>65</v>
      </c>
      <c r="F682" s="139">
        <f>E682*D682</f>
        <v>1.3</v>
      </c>
    </row>
    <row r="683" spans="1:6" ht="15.75">
      <c r="A683" s="122" t="s">
        <v>178</v>
      </c>
      <c r="B683" s="136" t="s">
        <v>196</v>
      </c>
      <c r="C683" s="137" t="s">
        <v>11</v>
      </c>
      <c r="D683" s="138">
        <v>1.1000000000000001</v>
      </c>
      <c r="E683" s="139">
        <v>290</v>
      </c>
      <c r="F683" s="139">
        <f>E683*D683</f>
        <v>319</v>
      </c>
    </row>
    <row r="684" spans="1:6" ht="15.75">
      <c r="A684" s="631" t="s">
        <v>82</v>
      </c>
      <c r="B684" s="631"/>
      <c r="C684" s="631"/>
      <c r="D684" s="631"/>
      <c r="E684" s="631"/>
      <c r="F684" s="140">
        <f>SUM(F681:F683)</f>
        <v>326.7</v>
      </c>
    </row>
    <row r="685" spans="1:6" ht="15.75">
      <c r="A685" s="633" t="s">
        <v>83</v>
      </c>
      <c r="B685" s="633"/>
      <c r="C685" s="633"/>
      <c r="D685" s="633"/>
      <c r="E685" s="633"/>
      <c r="F685" s="140">
        <f>SUM(F679+F684)</f>
        <v>375.56</v>
      </c>
    </row>
    <row r="686" spans="1:6" ht="15.75">
      <c r="A686" s="633" t="s">
        <v>84</v>
      </c>
      <c r="B686" s="633"/>
      <c r="C686" s="633"/>
      <c r="D686" s="633"/>
      <c r="E686" s="633"/>
      <c r="F686" s="140">
        <f>F685</f>
        <v>375.56</v>
      </c>
    </row>
    <row r="687" spans="1:6" ht="15.75">
      <c r="A687" s="22" t="s">
        <v>2</v>
      </c>
      <c r="B687" s="22" t="s">
        <v>62</v>
      </c>
      <c r="C687" s="22" t="s">
        <v>4</v>
      </c>
      <c r="D687" s="22" t="s">
        <v>63</v>
      </c>
      <c r="E687" s="22" t="s">
        <v>64</v>
      </c>
      <c r="F687" s="22" t="s">
        <v>65</v>
      </c>
    </row>
    <row r="688" spans="1:6" ht="15.75">
      <c r="A688" s="23" t="s">
        <v>60</v>
      </c>
      <c r="B688" s="559" t="s">
        <v>197</v>
      </c>
      <c r="C688" s="559"/>
      <c r="D688" s="559"/>
      <c r="E688" s="559"/>
      <c r="F688" s="559"/>
    </row>
    <row r="689" spans="1:6" ht="15.75">
      <c r="A689" s="24"/>
      <c r="B689" s="650" t="s">
        <v>66</v>
      </c>
      <c r="C689" s="650"/>
      <c r="D689" s="650"/>
      <c r="E689" s="650"/>
      <c r="F689" s="650"/>
    </row>
    <row r="690" spans="1:6" ht="15.75">
      <c r="A690" s="41" t="s">
        <v>198</v>
      </c>
      <c r="B690" s="26" t="s">
        <v>68</v>
      </c>
      <c r="C690" s="27" t="s">
        <v>69</v>
      </c>
      <c r="D690" s="28">
        <v>3.3</v>
      </c>
      <c r="E690" s="47">
        <v>9.82</v>
      </c>
      <c r="F690" s="30">
        <f>E690*D690</f>
        <v>32.409999999999997</v>
      </c>
    </row>
    <row r="691" spans="1:6" ht="15.75">
      <c r="A691" s="25" t="s">
        <v>70</v>
      </c>
      <c r="B691" s="26" t="s">
        <v>71</v>
      </c>
      <c r="C691" s="27" t="s">
        <v>69</v>
      </c>
      <c r="D691" s="28">
        <v>3.3</v>
      </c>
      <c r="E691" s="47">
        <v>7.69</v>
      </c>
      <c r="F691" s="30">
        <f>E691*D691</f>
        <v>25.38</v>
      </c>
    </row>
    <row r="692" spans="1:6" ht="15.75">
      <c r="A692" s="634" t="s">
        <v>72</v>
      </c>
      <c r="B692" s="634"/>
      <c r="C692" s="634"/>
      <c r="D692" s="634"/>
      <c r="E692" s="634"/>
      <c r="F692" s="31">
        <f>SUM(F690:F691)</f>
        <v>57.79</v>
      </c>
    </row>
    <row r="693" spans="1:6" ht="15.75">
      <c r="A693" s="634" t="s">
        <v>73</v>
      </c>
      <c r="B693" s="634"/>
      <c r="C693" s="634"/>
      <c r="D693" s="634"/>
      <c r="E693" s="634"/>
      <c r="F693" s="31">
        <f>SUM(F692:F692)</f>
        <v>57.79</v>
      </c>
    </row>
    <row r="694" spans="1:6" ht="15.75">
      <c r="A694" s="32"/>
      <c r="B694" s="650" t="s">
        <v>74</v>
      </c>
      <c r="C694" s="650"/>
      <c r="D694" s="650"/>
      <c r="E694" s="650"/>
      <c r="F694" s="650"/>
    </row>
    <row r="695" spans="1:6" ht="47.25">
      <c r="A695" s="50" t="s">
        <v>147</v>
      </c>
      <c r="B695" s="26" t="s">
        <v>199</v>
      </c>
      <c r="C695" s="27" t="s">
        <v>18</v>
      </c>
      <c r="D695" s="28">
        <v>2</v>
      </c>
      <c r="E695" s="30">
        <v>0.11</v>
      </c>
      <c r="F695" s="30">
        <f t="shared" ref="F695:F703" si="4">E695*D695</f>
        <v>0.22</v>
      </c>
    </row>
    <row r="696" spans="1:6" ht="47.25">
      <c r="A696" s="50" t="s">
        <v>147</v>
      </c>
      <c r="B696" s="26" t="s">
        <v>200</v>
      </c>
      <c r="C696" s="27" t="s">
        <v>18</v>
      </c>
      <c r="D696" s="28">
        <v>2</v>
      </c>
      <c r="E696" s="30">
        <v>0.66</v>
      </c>
      <c r="F696" s="30">
        <f t="shared" si="4"/>
        <v>1.32</v>
      </c>
    </row>
    <row r="697" spans="1:6" ht="15.75">
      <c r="A697" s="25" t="s">
        <v>201</v>
      </c>
      <c r="B697" s="26" t="s">
        <v>202</v>
      </c>
      <c r="C697" s="27" t="s">
        <v>14</v>
      </c>
      <c r="D697" s="28">
        <v>0.25</v>
      </c>
      <c r="E697" s="30">
        <v>2.9</v>
      </c>
      <c r="F697" s="30">
        <f t="shared" si="4"/>
        <v>0.73</v>
      </c>
    </row>
    <row r="698" spans="1:6" ht="15.75">
      <c r="A698" s="25" t="s">
        <v>75</v>
      </c>
      <c r="B698" s="26" t="s">
        <v>76</v>
      </c>
      <c r="C698" s="27" t="s">
        <v>17</v>
      </c>
      <c r="D698" s="28">
        <v>0.56000000000000005</v>
      </c>
      <c r="E698" s="29">
        <v>0.19</v>
      </c>
      <c r="F698" s="30">
        <f t="shared" si="4"/>
        <v>0.11</v>
      </c>
    </row>
    <row r="699" spans="1:6" ht="15.75">
      <c r="A699" s="25" t="s">
        <v>203</v>
      </c>
      <c r="B699" s="26" t="s">
        <v>204</v>
      </c>
      <c r="C699" s="27" t="s">
        <v>18</v>
      </c>
      <c r="D699" s="28">
        <v>1</v>
      </c>
      <c r="E699" s="30">
        <v>3.19</v>
      </c>
      <c r="F699" s="30">
        <f t="shared" si="4"/>
        <v>3.19</v>
      </c>
    </row>
    <row r="700" spans="1:6" ht="15.75">
      <c r="A700" s="25" t="s">
        <v>205</v>
      </c>
      <c r="B700" s="26" t="s">
        <v>206</v>
      </c>
      <c r="C700" s="27" t="s">
        <v>18</v>
      </c>
      <c r="D700" s="28">
        <v>1</v>
      </c>
      <c r="E700" s="30">
        <v>1.65</v>
      </c>
      <c r="F700" s="30">
        <f t="shared" si="4"/>
        <v>1.65</v>
      </c>
    </row>
    <row r="701" spans="1:6" ht="31.5">
      <c r="A701" s="25" t="s">
        <v>207</v>
      </c>
      <c r="B701" s="26" t="s">
        <v>208</v>
      </c>
      <c r="C701" s="27" t="s">
        <v>18</v>
      </c>
      <c r="D701" s="28">
        <v>1</v>
      </c>
      <c r="E701" s="30">
        <v>3.75</v>
      </c>
      <c r="F701" s="30">
        <f t="shared" si="4"/>
        <v>3.75</v>
      </c>
    </row>
    <row r="702" spans="1:6" ht="31.5">
      <c r="A702" s="51" t="s">
        <v>209</v>
      </c>
      <c r="B702" s="33" t="s">
        <v>210</v>
      </c>
      <c r="C702" s="34" t="s">
        <v>18</v>
      </c>
      <c r="D702" s="35">
        <v>1</v>
      </c>
      <c r="E702" s="37">
        <v>400</v>
      </c>
      <c r="F702" s="37">
        <f t="shared" si="4"/>
        <v>400</v>
      </c>
    </row>
    <row r="703" spans="1:6" ht="31.5">
      <c r="A703" s="50" t="s">
        <v>193</v>
      </c>
      <c r="B703" s="26" t="s">
        <v>211</v>
      </c>
      <c r="C703" s="27" t="s">
        <v>18</v>
      </c>
      <c r="D703" s="28">
        <v>1</v>
      </c>
      <c r="E703" s="30">
        <v>156.08000000000001</v>
      </c>
      <c r="F703" s="30">
        <f t="shared" si="4"/>
        <v>156.08000000000001</v>
      </c>
    </row>
    <row r="704" spans="1:6" ht="15.75">
      <c r="A704" s="634" t="s">
        <v>82</v>
      </c>
      <c r="B704" s="634"/>
      <c r="C704" s="634"/>
      <c r="D704" s="634"/>
      <c r="E704" s="634"/>
      <c r="F704" s="31">
        <f>SUM(F695:F703)</f>
        <v>567.04999999999995</v>
      </c>
    </row>
    <row r="705" spans="1:6" ht="15.75">
      <c r="A705" s="567" t="s">
        <v>83</v>
      </c>
      <c r="B705" s="567"/>
      <c r="C705" s="567"/>
      <c r="D705" s="567"/>
      <c r="E705" s="567"/>
      <c r="F705" s="31">
        <f>SUM(F693+F704)</f>
        <v>624.84</v>
      </c>
    </row>
    <row r="706" spans="1:6" ht="15.75">
      <c r="A706" s="567" t="s">
        <v>84</v>
      </c>
      <c r="B706" s="567"/>
      <c r="C706" s="567"/>
      <c r="D706" s="567"/>
      <c r="E706" s="567"/>
      <c r="F706" s="31">
        <f>F705</f>
        <v>624.84</v>
      </c>
    </row>
    <row r="707" spans="1:6" s="63" customFormat="1" ht="17.100000000000001" customHeight="1" thickBot="1">
      <c r="A707" s="719" t="s">
        <v>266</v>
      </c>
      <c r="B707" s="720"/>
      <c r="C707" s="720"/>
      <c r="D707" s="720"/>
      <c r="E707" s="720"/>
      <c r="F707" s="720"/>
    </row>
    <row r="708" spans="1:6" s="63" customFormat="1" ht="17.100000000000001" customHeight="1">
      <c r="A708" s="69" t="s">
        <v>2</v>
      </c>
      <c r="B708" s="69" t="s">
        <v>62</v>
      </c>
      <c r="C708" s="69" t="s">
        <v>4</v>
      </c>
      <c r="D708" s="69" t="s">
        <v>112</v>
      </c>
      <c r="E708" s="69" t="s">
        <v>64</v>
      </c>
      <c r="F708" s="69" t="s">
        <v>65</v>
      </c>
    </row>
    <row r="709" spans="1:6" s="57" customFormat="1" ht="15.75">
      <c r="A709" s="104"/>
      <c r="B709" s="728" t="s">
        <v>264</v>
      </c>
      <c r="C709" s="728"/>
      <c r="D709" s="728"/>
      <c r="E709" s="728"/>
      <c r="F709" s="729"/>
    </row>
    <row r="710" spans="1:6" s="57" customFormat="1" ht="15.75">
      <c r="A710" s="105"/>
      <c r="B710" s="730" t="s">
        <v>66</v>
      </c>
      <c r="C710" s="730"/>
      <c r="D710" s="730"/>
      <c r="E710" s="730"/>
      <c r="F710" s="731"/>
    </row>
    <row r="711" spans="1:6" s="57" customFormat="1" ht="15.75">
      <c r="A711" s="106" t="s">
        <v>278</v>
      </c>
      <c r="B711" s="107" t="s">
        <v>265</v>
      </c>
      <c r="C711" s="108" t="s">
        <v>69</v>
      </c>
      <c r="D711" s="109">
        <v>3</v>
      </c>
      <c r="E711" s="110">
        <v>10.7</v>
      </c>
      <c r="F711" s="111">
        <f>E711*D711</f>
        <v>32.1</v>
      </c>
    </row>
    <row r="712" spans="1:6" s="57" customFormat="1" ht="15.75">
      <c r="A712" s="732" t="s">
        <v>72</v>
      </c>
      <c r="B712" s="733"/>
      <c r="C712" s="733"/>
      <c r="D712" s="733"/>
      <c r="E712" s="733"/>
      <c r="F712" s="112">
        <f>SUM(F711:F711)</f>
        <v>32.1</v>
      </c>
    </row>
    <row r="713" spans="1:6" s="57" customFormat="1" ht="15.75">
      <c r="A713" s="732" t="s">
        <v>73</v>
      </c>
      <c r="B713" s="733"/>
      <c r="C713" s="733"/>
      <c r="D713" s="733"/>
      <c r="E713" s="733"/>
      <c r="F713" s="112">
        <f>SUM(F712:F712)</f>
        <v>32.1</v>
      </c>
    </row>
    <row r="714" spans="1:6" s="57" customFormat="1" ht="15.75">
      <c r="A714" s="113"/>
      <c r="B714" s="730" t="s">
        <v>74</v>
      </c>
      <c r="C714" s="730"/>
      <c r="D714" s="730"/>
      <c r="E714" s="730"/>
      <c r="F714" s="731"/>
    </row>
    <row r="715" spans="1:6" s="57" customFormat="1" ht="15.75">
      <c r="A715" s="106" t="s">
        <v>182</v>
      </c>
      <c r="B715" s="107" t="s">
        <v>409</v>
      </c>
      <c r="C715" s="108" t="s">
        <v>11</v>
      </c>
      <c r="D715" s="109">
        <v>1.2</v>
      </c>
      <c r="E715" s="110">
        <v>260</v>
      </c>
      <c r="F715" s="111">
        <f>E715*D715</f>
        <v>312</v>
      </c>
    </row>
    <row r="716" spans="1:6" s="57" customFormat="1" ht="15.75">
      <c r="A716" s="732" t="s">
        <v>82</v>
      </c>
      <c r="B716" s="733"/>
      <c r="C716" s="733"/>
      <c r="D716" s="733"/>
      <c r="E716" s="733"/>
      <c r="F716" s="112">
        <f>SUM(F715:F715)</f>
        <v>312</v>
      </c>
    </row>
    <row r="717" spans="1:6" s="57" customFormat="1" ht="15.75">
      <c r="A717" s="726" t="s">
        <v>83</v>
      </c>
      <c r="B717" s="727"/>
      <c r="C717" s="727"/>
      <c r="D717" s="727"/>
      <c r="E717" s="727"/>
      <c r="F717" s="112">
        <f>SUM(F713+F716)</f>
        <v>344.1</v>
      </c>
    </row>
    <row r="718" spans="1:6" s="57" customFormat="1" ht="15.75">
      <c r="A718" s="726" t="s">
        <v>84</v>
      </c>
      <c r="B718" s="727"/>
      <c r="C718" s="727"/>
      <c r="D718" s="727"/>
      <c r="E718" s="727"/>
      <c r="F718" s="112">
        <f>F717</f>
        <v>344.1</v>
      </c>
    </row>
    <row r="719" spans="1:6" ht="15.75">
      <c r="A719" s="656" t="s">
        <v>57</v>
      </c>
      <c r="B719" s="656"/>
      <c r="C719" s="656"/>
      <c r="D719" s="656"/>
      <c r="E719" s="656"/>
      <c r="F719" s="656"/>
    </row>
    <row r="720" spans="1:6" ht="15.75">
      <c r="A720" s="22" t="s">
        <v>2</v>
      </c>
      <c r="B720" s="22" t="s">
        <v>62</v>
      </c>
      <c r="C720" s="22" t="s">
        <v>4</v>
      </c>
      <c r="D720" s="22" t="s">
        <v>63</v>
      </c>
      <c r="E720" s="22" t="s">
        <v>64</v>
      </c>
      <c r="F720" s="22" t="s">
        <v>65</v>
      </c>
    </row>
    <row r="721" spans="1:6" ht="15.75">
      <c r="A721" s="114"/>
      <c r="B721" s="617" t="s">
        <v>213</v>
      </c>
      <c r="C721" s="617"/>
      <c r="D721" s="617"/>
      <c r="E721" s="617"/>
      <c r="F721" s="617"/>
    </row>
    <row r="722" spans="1:6" ht="15.75">
      <c r="A722" s="115"/>
      <c r="B722" s="630" t="s">
        <v>66</v>
      </c>
      <c r="C722" s="630"/>
      <c r="D722" s="630"/>
      <c r="E722" s="630"/>
      <c r="F722" s="630"/>
    </row>
    <row r="723" spans="1:6" ht="15.75">
      <c r="A723" s="116" t="s">
        <v>121</v>
      </c>
      <c r="B723" s="117" t="s">
        <v>122</v>
      </c>
      <c r="C723" s="118" t="s">
        <v>69</v>
      </c>
      <c r="D723" s="119">
        <v>4</v>
      </c>
      <c r="E723" s="120">
        <v>10.7</v>
      </c>
      <c r="F723" s="121">
        <f>E723*D723</f>
        <v>42.8</v>
      </c>
    </row>
    <row r="724" spans="1:6" ht="15.75">
      <c r="A724" s="122" t="s">
        <v>123</v>
      </c>
      <c r="B724" s="117" t="s">
        <v>124</v>
      </c>
      <c r="C724" s="118" t="s">
        <v>69</v>
      </c>
      <c r="D724" s="119">
        <v>4</v>
      </c>
      <c r="E724" s="120">
        <v>8.3800000000000008</v>
      </c>
      <c r="F724" s="121">
        <f>E724*D724</f>
        <v>33.520000000000003</v>
      </c>
    </row>
    <row r="725" spans="1:6" ht="15.75">
      <c r="A725" s="631" t="s">
        <v>72</v>
      </c>
      <c r="B725" s="631"/>
      <c r="C725" s="631"/>
      <c r="D725" s="631"/>
      <c r="E725" s="631"/>
      <c r="F725" s="123">
        <f>SUM(F723:F724)</f>
        <v>76.319999999999993</v>
      </c>
    </row>
    <row r="726" spans="1:6" ht="15.75">
      <c r="A726" s="631" t="s">
        <v>73</v>
      </c>
      <c r="B726" s="631"/>
      <c r="C726" s="631"/>
      <c r="D726" s="631"/>
      <c r="E726" s="631"/>
      <c r="F726" s="123">
        <f>SUM(F725:F725)</f>
        <v>76.319999999999993</v>
      </c>
    </row>
    <row r="727" spans="1:6" ht="15.75">
      <c r="A727" s="157"/>
      <c r="B727" s="630" t="s">
        <v>74</v>
      </c>
      <c r="C727" s="630"/>
      <c r="D727" s="630"/>
      <c r="E727" s="630"/>
      <c r="F727" s="630"/>
    </row>
    <row r="728" spans="1:6" ht="15.75">
      <c r="A728" s="116" t="s">
        <v>134</v>
      </c>
      <c r="B728" s="117" t="s">
        <v>135</v>
      </c>
      <c r="C728" s="118" t="s">
        <v>14</v>
      </c>
      <c r="D728" s="119">
        <v>1.72</v>
      </c>
      <c r="E728" s="121">
        <v>0.64</v>
      </c>
      <c r="F728" s="121">
        <f>E728*D728</f>
        <v>1.1000000000000001</v>
      </c>
    </row>
    <row r="729" spans="1:6" ht="15.75">
      <c r="A729" s="116" t="s">
        <v>132</v>
      </c>
      <c r="B729" s="117" t="s">
        <v>133</v>
      </c>
      <c r="C729" s="118" t="s">
        <v>8</v>
      </c>
      <c r="D729" s="119">
        <v>1.06E-2</v>
      </c>
      <c r="E729" s="121">
        <v>65</v>
      </c>
      <c r="F729" s="121">
        <f>E729*D729</f>
        <v>0.69</v>
      </c>
    </row>
    <row r="730" spans="1:6" ht="31.5">
      <c r="A730" s="178" t="s">
        <v>214</v>
      </c>
      <c r="B730" s="117" t="s">
        <v>215</v>
      </c>
      <c r="C730" s="118" t="s">
        <v>11</v>
      </c>
      <c r="D730" s="119">
        <f>0.7*2.1</f>
        <v>1.47</v>
      </c>
      <c r="E730" s="121">
        <v>170</v>
      </c>
      <c r="F730" s="121">
        <f>E730*D730</f>
        <v>249.9</v>
      </c>
    </row>
    <row r="731" spans="1:6" ht="15.75">
      <c r="A731" s="631" t="s">
        <v>82</v>
      </c>
      <c r="B731" s="631"/>
      <c r="C731" s="631"/>
      <c r="D731" s="631"/>
      <c r="E731" s="631"/>
      <c r="F731" s="123">
        <f>SUM(F728:F730)</f>
        <v>251.69</v>
      </c>
    </row>
    <row r="732" spans="1:6" ht="15.75">
      <c r="A732" s="622" t="s">
        <v>83</v>
      </c>
      <c r="B732" s="622"/>
      <c r="C732" s="622"/>
      <c r="D732" s="622"/>
      <c r="E732" s="622"/>
      <c r="F732" s="123">
        <f>SUM(F726+F731)</f>
        <v>328.01</v>
      </c>
    </row>
    <row r="733" spans="1:6" ht="15.75">
      <c r="A733" s="622" t="s">
        <v>84</v>
      </c>
      <c r="B733" s="622"/>
      <c r="C733" s="622"/>
      <c r="D733" s="622"/>
      <c r="E733" s="622"/>
      <c r="F733" s="123">
        <f>F732</f>
        <v>328.01</v>
      </c>
    </row>
    <row r="734" spans="1:6" ht="16.5" thickBot="1">
      <c r="A734" s="656" t="s">
        <v>58</v>
      </c>
      <c r="B734" s="656"/>
      <c r="C734" s="656"/>
      <c r="D734" s="656"/>
      <c r="E734" s="656"/>
      <c r="F734" s="656"/>
    </row>
    <row r="735" spans="1:6" ht="15.75">
      <c r="A735" s="99" t="s">
        <v>2</v>
      </c>
      <c r="B735" s="69" t="s">
        <v>62</v>
      </c>
      <c r="C735" s="69" t="s">
        <v>4</v>
      </c>
      <c r="D735" s="69" t="s">
        <v>112</v>
      </c>
      <c r="E735" s="69" t="s">
        <v>64</v>
      </c>
      <c r="F735" s="70" t="s">
        <v>65</v>
      </c>
    </row>
    <row r="736" spans="1:6" ht="15.75">
      <c r="A736" s="158"/>
      <c r="B736" s="611" t="s">
        <v>285</v>
      </c>
      <c r="C736" s="611"/>
      <c r="D736" s="611"/>
      <c r="E736" s="611"/>
      <c r="F736" s="612"/>
    </row>
    <row r="737" spans="1:6" ht="15.75">
      <c r="A737" s="159"/>
      <c r="B737" s="611" t="s">
        <v>74</v>
      </c>
      <c r="C737" s="611"/>
      <c r="D737" s="611"/>
      <c r="E737" s="611"/>
      <c r="F737" s="612"/>
    </row>
    <row r="738" spans="1:6" ht="15.75">
      <c r="A738" s="158"/>
      <c r="B738" s="160" t="s">
        <v>286</v>
      </c>
      <c r="C738" s="161" t="s">
        <v>18</v>
      </c>
      <c r="D738" s="162">
        <v>1</v>
      </c>
      <c r="E738" s="163">
        <v>84</v>
      </c>
      <c r="F738" s="164">
        <f>ROUND(D738*E738,2)</f>
        <v>84</v>
      </c>
    </row>
    <row r="739" spans="1:6" ht="15.75">
      <c r="A739" s="623" t="s">
        <v>239</v>
      </c>
      <c r="B739" s="624"/>
      <c r="C739" s="624"/>
      <c r="D739" s="624"/>
      <c r="E739" s="624"/>
      <c r="F739" s="165">
        <f>SUM(F738:F738)</f>
        <v>84</v>
      </c>
    </row>
    <row r="740" spans="1:6" ht="16.5" thickBot="1">
      <c r="A740" s="623" t="s">
        <v>84</v>
      </c>
      <c r="B740" s="624"/>
      <c r="C740" s="624"/>
      <c r="D740" s="624"/>
      <c r="E740" s="624"/>
      <c r="F740" s="165">
        <f>F739</f>
        <v>84</v>
      </c>
    </row>
    <row r="741" spans="1:6" ht="15.75">
      <c r="A741" s="99" t="s">
        <v>2</v>
      </c>
      <c r="B741" s="69" t="s">
        <v>62</v>
      </c>
      <c r="C741" s="69" t="s">
        <v>4</v>
      </c>
      <c r="D741" s="69" t="s">
        <v>112</v>
      </c>
      <c r="E741" s="69" t="s">
        <v>64</v>
      </c>
      <c r="F741" s="70" t="s">
        <v>65</v>
      </c>
    </row>
    <row r="742" spans="1:6" ht="15.75">
      <c r="A742" s="100" t="s">
        <v>59</v>
      </c>
      <c r="B742" s="625" t="s">
        <v>287</v>
      </c>
      <c r="C742" s="625"/>
      <c r="D742" s="625"/>
      <c r="E742" s="625"/>
      <c r="F742" s="626"/>
    </row>
    <row r="743" spans="1:6" ht="15.75">
      <c r="A743" s="101"/>
      <c r="B743" s="625" t="s">
        <v>74</v>
      </c>
      <c r="C743" s="625"/>
      <c r="D743" s="625"/>
      <c r="E743" s="625"/>
      <c r="F743" s="626"/>
    </row>
    <row r="744" spans="1:6" ht="15.75">
      <c r="A744" s="100"/>
      <c r="B744" s="92" t="s">
        <v>288</v>
      </c>
      <c r="C744" s="73" t="s">
        <v>18</v>
      </c>
      <c r="D744" s="94">
        <v>1</v>
      </c>
      <c r="E744" s="95">
        <v>225</v>
      </c>
      <c r="F744" s="96">
        <f>ROUND(D744*E744,2)</f>
        <v>225</v>
      </c>
    </row>
    <row r="745" spans="1:6" ht="15.75">
      <c r="A745" s="627" t="s">
        <v>239</v>
      </c>
      <c r="B745" s="628"/>
      <c r="C745" s="628"/>
      <c r="D745" s="628"/>
      <c r="E745" s="628"/>
      <c r="F745" s="97">
        <f>SUM(F744:F744)</f>
        <v>225</v>
      </c>
    </row>
    <row r="746" spans="1:6" ht="16.5" thickBot="1">
      <c r="A746" s="627" t="s">
        <v>84</v>
      </c>
      <c r="B746" s="628"/>
      <c r="C746" s="628"/>
      <c r="D746" s="628"/>
      <c r="E746" s="628"/>
      <c r="F746" s="97">
        <f>F745</f>
        <v>225</v>
      </c>
    </row>
    <row r="747" spans="1:6" s="76" customFormat="1" ht="15" customHeight="1">
      <c r="A747" s="68" t="s">
        <v>2</v>
      </c>
      <c r="B747" s="69" t="s">
        <v>62</v>
      </c>
      <c r="C747" s="69" t="s">
        <v>4</v>
      </c>
      <c r="D747" s="69" t="s">
        <v>63</v>
      </c>
      <c r="E747" s="69" t="s">
        <v>64</v>
      </c>
      <c r="F747" s="70" t="s">
        <v>65</v>
      </c>
    </row>
    <row r="748" spans="1:6" s="76" customFormat="1" ht="15" customHeight="1">
      <c r="A748" s="125"/>
      <c r="B748" s="721" t="s">
        <v>279</v>
      </c>
      <c r="C748" s="722"/>
      <c r="D748" s="722"/>
      <c r="E748" s="722"/>
      <c r="F748" s="722"/>
    </row>
    <row r="749" spans="1:6" s="76" customFormat="1" ht="15" customHeight="1">
      <c r="A749" s="126"/>
      <c r="B749" s="723" t="s">
        <v>66</v>
      </c>
      <c r="C749" s="724"/>
      <c r="D749" s="724"/>
      <c r="E749" s="724"/>
      <c r="F749" s="724"/>
    </row>
    <row r="750" spans="1:6" s="76" customFormat="1" ht="15" customHeight="1">
      <c r="A750" s="122" t="s">
        <v>117</v>
      </c>
      <c r="B750" s="117" t="s">
        <v>118</v>
      </c>
      <c r="C750" s="118" t="s">
        <v>69</v>
      </c>
      <c r="D750" s="119">
        <v>2</v>
      </c>
      <c r="E750" s="121">
        <v>10.7</v>
      </c>
      <c r="F750" s="127">
        <f>D750*E750</f>
        <v>21.4</v>
      </c>
    </row>
    <row r="751" spans="1:6" s="76" customFormat="1" ht="15" customHeight="1">
      <c r="A751" s="122" t="s">
        <v>281</v>
      </c>
      <c r="B751" s="117" t="s">
        <v>124</v>
      </c>
      <c r="C751" s="118" t="s">
        <v>69</v>
      </c>
      <c r="D751" s="119">
        <v>2</v>
      </c>
      <c r="E751" s="120">
        <v>8.3800000000000008</v>
      </c>
      <c r="F751" s="127">
        <f>D751*E751</f>
        <v>16.760000000000002</v>
      </c>
    </row>
    <row r="752" spans="1:6" s="76" customFormat="1" ht="15" customHeight="1">
      <c r="A752" s="725" t="s">
        <v>72</v>
      </c>
      <c r="B752" s="631"/>
      <c r="C752" s="631"/>
      <c r="D752" s="631"/>
      <c r="E752" s="631"/>
      <c r="F752" s="128">
        <f>SUM(F750:F751)</f>
        <v>38.159999999999997</v>
      </c>
    </row>
    <row r="753" spans="1:7" s="76" customFormat="1" ht="15" customHeight="1">
      <c r="A753" s="725" t="s">
        <v>73</v>
      </c>
      <c r="B753" s="631"/>
      <c r="C753" s="631"/>
      <c r="D753" s="631"/>
      <c r="E753" s="631"/>
      <c r="F753" s="128">
        <f>SUM(F752:F752)</f>
        <v>38.159999999999997</v>
      </c>
    </row>
    <row r="754" spans="1:7" s="76" customFormat="1" ht="15" customHeight="1">
      <c r="A754" s="125"/>
      <c r="B754" s="723" t="s">
        <v>74</v>
      </c>
      <c r="C754" s="724"/>
      <c r="D754" s="724"/>
      <c r="E754" s="724"/>
      <c r="F754" s="724"/>
    </row>
    <row r="755" spans="1:7" s="76" customFormat="1" ht="15" customHeight="1">
      <c r="A755" s="116" t="s">
        <v>282</v>
      </c>
      <c r="B755" s="117" t="s">
        <v>283</v>
      </c>
      <c r="C755" s="118" t="s">
        <v>11</v>
      </c>
      <c r="D755" s="119">
        <v>1</v>
      </c>
      <c r="E755" s="121">
        <v>28.97</v>
      </c>
      <c r="F755" s="127">
        <f>D755*E755</f>
        <v>28.97</v>
      </c>
    </row>
    <row r="756" spans="1:7" s="76" customFormat="1" ht="15" customHeight="1">
      <c r="A756" s="116" t="s">
        <v>145</v>
      </c>
      <c r="B756" s="129" t="s">
        <v>146</v>
      </c>
      <c r="C756" s="130" t="s">
        <v>14</v>
      </c>
      <c r="D756" s="131">
        <v>1</v>
      </c>
      <c r="E756" s="132">
        <v>6.6</v>
      </c>
      <c r="F756" s="133">
        <f>E756*D756</f>
        <v>6.6</v>
      </c>
    </row>
    <row r="757" spans="1:7" s="76" customFormat="1" ht="15" customHeight="1">
      <c r="A757" s="116" t="s">
        <v>143</v>
      </c>
      <c r="B757" s="129" t="s">
        <v>144</v>
      </c>
      <c r="C757" s="130" t="s">
        <v>17</v>
      </c>
      <c r="D757" s="131">
        <v>3.05</v>
      </c>
      <c r="E757" s="132">
        <v>4.75</v>
      </c>
      <c r="F757" s="133">
        <f>E757*D757</f>
        <v>14.49</v>
      </c>
    </row>
    <row r="758" spans="1:7" s="76" customFormat="1" ht="15" customHeight="1">
      <c r="A758" s="116" t="s">
        <v>284</v>
      </c>
      <c r="B758" s="117" t="s">
        <v>280</v>
      </c>
      <c r="C758" s="118" t="s">
        <v>18</v>
      </c>
      <c r="D758" s="119">
        <v>9</v>
      </c>
      <c r="E758" s="121">
        <v>1</v>
      </c>
      <c r="F758" s="133">
        <f>E758*D758</f>
        <v>9</v>
      </c>
    </row>
    <row r="759" spans="1:7" s="76" customFormat="1" ht="15" customHeight="1">
      <c r="A759" s="621" t="s">
        <v>82</v>
      </c>
      <c r="B759" s="622"/>
      <c r="C759" s="622"/>
      <c r="D759" s="622"/>
      <c r="E759" s="622"/>
      <c r="F759" s="128">
        <f>SUM(F755:F758)</f>
        <v>59.06</v>
      </c>
    </row>
    <row r="760" spans="1:7" s="76" customFormat="1" ht="15" customHeight="1">
      <c r="A760" s="621" t="s">
        <v>83</v>
      </c>
      <c r="B760" s="622"/>
      <c r="C760" s="622"/>
      <c r="D760" s="622"/>
      <c r="E760" s="622"/>
      <c r="F760" s="128">
        <f>SUM(F753+F759)</f>
        <v>97.22</v>
      </c>
    </row>
    <row r="761" spans="1:7" s="76" customFormat="1" ht="15" customHeight="1" thickBot="1">
      <c r="A761" s="621" t="s">
        <v>84</v>
      </c>
      <c r="B761" s="622"/>
      <c r="C761" s="622"/>
      <c r="D761" s="622"/>
      <c r="E761" s="622"/>
      <c r="F761" s="128">
        <f>F760</f>
        <v>97.22</v>
      </c>
    </row>
    <row r="762" spans="1:7" s="76" customFormat="1" ht="15" customHeight="1">
      <c r="A762" s="68" t="s">
        <v>2</v>
      </c>
      <c r="B762" s="69" t="s">
        <v>62</v>
      </c>
      <c r="C762" s="69" t="s">
        <v>4</v>
      </c>
      <c r="D762" s="69" t="s">
        <v>63</v>
      </c>
      <c r="E762" s="69" t="s">
        <v>64</v>
      </c>
      <c r="F762" s="70" t="s">
        <v>65</v>
      </c>
    </row>
    <row r="763" spans="1:7" s="57" customFormat="1" ht="15.75">
      <c r="A763" s="142"/>
      <c r="B763" s="651" t="s">
        <v>292</v>
      </c>
      <c r="C763" s="652"/>
      <c r="D763" s="652"/>
      <c r="E763" s="652"/>
      <c r="F763" s="652"/>
      <c r="G763" s="102"/>
    </row>
    <row r="764" spans="1:7" s="57" customFormat="1" ht="15.75">
      <c r="A764" s="143"/>
      <c r="B764" s="611" t="s">
        <v>74</v>
      </c>
      <c r="C764" s="611"/>
      <c r="D764" s="611"/>
      <c r="E764" s="611"/>
      <c r="F764" s="612"/>
      <c r="G764" s="102"/>
    </row>
    <row r="765" spans="1:7" s="57" customFormat="1" ht="31.5">
      <c r="A765" s="142"/>
      <c r="B765" s="144" t="s">
        <v>293</v>
      </c>
      <c r="C765" s="145" t="s">
        <v>8</v>
      </c>
      <c r="D765" s="146">
        <f>0.1*0.5*1.3</f>
        <v>7.0000000000000007E-2</v>
      </c>
      <c r="E765" s="147">
        <v>960.53</v>
      </c>
      <c r="F765" s="148">
        <f>E765*D765</f>
        <v>67.239999999999995</v>
      </c>
      <c r="G765" s="102"/>
    </row>
    <row r="766" spans="1:7" s="57" customFormat="1" ht="15.75">
      <c r="A766" s="613" t="s">
        <v>73</v>
      </c>
      <c r="B766" s="614"/>
      <c r="C766" s="614"/>
      <c r="D766" s="614"/>
      <c r="E766" s="614"/>
      <c r="F766" s="149">
        <f>SUM(F765:F765)</f>
        <v>67.239999999999995</v>
      </c>
      <c r="G766" s="102"/>
    </row>
    <row r="767" spans="1:7" s="57" customFormat="1" ht="15.75">
      <c r="A767" s="615" t="s">
        <v>239</v>
      </c>
      <c r="B767" s="616"/>
      <c r="C767" s="616"/>
      <c r="D767" s="616"/>
      <c r="E767" s="616"/>
      <c r="F767" s="149">
        <f>F766</f>
        <v>67.239999999999995</v>
      </c>
      <c r="G767" s="102"/>
    </row>
    <row r="768" spans="1:7" s="57" customFormat="1" ht="15.75">
      <c r="A768" s="615" t="s">
        <v>84</v>
      </c>
      <c r="B768" s="616"/>
      <c r="C768" s="616"/>
      <c r="D768" s="616"/>
      <c r="E768" s="616"/>
      <c r="F768" s="149">
        <f>F767</f>
        <v>67.239999999999995</v>
      </c>
    </row>
    <row r="769" spans="1:6" ht="15.75">
      <c r="A769" s="22" t="s">
        <v>2</v>
      </c>
      <c r="B769" s="22" t="s">
        <v>62</v>
      </c>
      <c r="C769" s="22" t="s">
        <v>4</v>
      </c>
      <c r="D769" s="22" t="s">
        <v>63</v>
      </c>
      <c r="E769" s="22" t="s">
        <v>64</v>
      </c>
      <c r="F769" s="22" t="s">
        <v>65</v>
      </c>
    </row>
    <row r="770" spans="1:6" ht="32.25" customHeight="1">
      <c r="A770" s="134"/>
      <c r="B770" s="666" t="s">
        <v>296</v>
      </c>
      <c r="C770" s="666"/>
      <c r="D770" s="666"/>
      <c r="E770" s="666"/>
      <c r="F770" s="666"/>
    </row>
    <row r="771" spans="1:6" ht="15.75">
      <c r="A771" s="135"/>
      <c r="B771" s="630" t="s">
        <v>66</v>
      </c>
      <c r="C771" s="630"/>
      <c r="D771" s="630"/>
      <c r="E771" s="630"/>
      <c r="F771" s="630"/>
    </row>
    <row r="772" spans="1:6" ht="15.75">
      <c r="A772" s="116" t="s">
        <v>121</v>
      </c>
      <c r="B772" s="136" t="s">
        <v>122</v>
      </c>
      <c r="C772" s="137" t="s">
        <v>69</v>
      </c>
      <c r="D772" s="138">
        <v>1.08</v>
      </c>
      <c r="E772" s="120">
        <v>10.7</v>
      </c>
      <c r="F772" s="139">
        <f>E772*D772</f>
        <v>11.56</v>
      </c>
    </row>
    <row r="773" spans="1:6" ht="15.75">
      <c r="A773" s="122" t="s">
        <v>123</v>
      </c>
      <c r="B773" s="136" t="s">
        <v>124</v>
      </c>
      <c r="C773" s="137" t="s">
        <v>69</v>
      </c>
      <c r="D773" s="138">
        <v>0.72</v>
      </c>
      <c r="E773" s="120">
        <v>8.3800000000000008</v>
      </c>
      <c r="F773" s="139">
        <f>E773*D773</f>
        <v>6.03</v>
      </c>
    </row>
    <row r="774" spans="1:6" ht="15.75">
      <c r="A774" s="631" t="s">
        <v>72</v>
      </c>
      <c r="B774" s="631"/>
      <c r="C774" s="631"/>
      <c r="D774" s="631"/>
      <c r="E774" s="631"/>
      <c r="F774" s="140">
        <f>SUM(F772:F773)</f>
        <v>17.59</v>
      </c>
    </row>
    <row r="775" spans="1:6" ht="15.75">
      <c r="A775" s="631" t="s">
        <v>73</v>
      </c>
      <c r="B775" s="631"/>
      <c r="C775" s="631"/>
      <c r="D775" s="631"/>
      <c r="E775" s="631"/>
      <c r="F775" s="140">
        <f>SUM(F774:F774)</f>
        <v>17.59</v>
      </c>
    </row>
    <row r="776" spans="1:6" ht="15.75">
      <c r="A776" s="124"/>
      <c r="B776" s="630" t="s">
        <v>74</v>
      </c>
      <c r="C776" s="630"/>
      <c r="D776" s="630"/>
      <c r="E776" s="630"/>
      <c r="F776" s="630"/>
    </row>
    <row r="777" spans="1:6" ht="15.75">
      <c r="A777" s="116" t="s">
        <v>134</v>
      </c>
      <c r="B777" s="136" t="s">
        <v>135</v>
      </c>
      <c r="C777" s="137" t="s">
        <v>14</v>
      </c>
      <c r="D777" s="154">
        <f>0.72*1.94</f>
        <v>1.3968</v>
      </c>
      <c r="E777" s="120">
        <v>0.64</v>
      </c>
      <c r="F777" s="139">
        <f>E777*D777</f>
        <v>0.89</v>
      </c>
    </row>
    <row r="778" spans="1:6" ht="15.75">
      <c r="A778" s="116" t="s">
        <v>132</v>
      </c>
      <c r="B778" s="156" t="s">
        <v>133</v>
      </c>
      <c r="C778" s="137" t="s">
        <v>8</v>
      </c>
      <c r="D778" s="154">
        <f>0.72*0.0049</f>
        <v>3.5000000000000001E-3</v>
      </c>
      <c r="E778" s="120">
        <v>65</v>
      </c>
      <c r="F778" s="139">
        <f>E778*D778</f>
        <v>0.23</v>
      </c>
    </row>
    <row r="779" spans="1:6" ht="15.75">
      <c r="A779" s="122" t="s">
        <v>297</v>
      </c>
      <c r="B779" s="136" t="s">
        <v>298</v>
      </c>
      <c r="C779" s="137" t="s">
        <v>11</v>
      </c>
      <c r="D779" s="138">
        <v>1</v>
      </c>
      <c r="E779" s="139">
        <v>289.74</v>
      </c>
      <c r="F779" s="139">
        <f>E779*D779</f>
        <v>289.74</v>
      </c>
    </row>
    <row r="780" spans="1:6" ht="15.75">
      <c r="A780" s="122" t="s">
        <v>289</v>
      </c>
      <c r="B780" s="136" t="s">
        <v>183</v>
      </c>
      <c r="C780" s="137" t="s">
        <v>11</v>
      </c>
      <c r="D780" s="138">
        <v>1</v>
      </c>
      <c r="E780" s="139">
        <v>211.57</v>
      </c>
      <c r="F780" s="139">
        <f>E780*D780</f>
        <v>211.57</v>
      </c>
    </row>
    <row r="781" spans="1:6" ht="15.75">
      <c r="A781" s="631" t="s">
        <v>82</v>
      </c>
      <c r="B781" s="631"/>
      <c r="C781" s="631"/>
      <c r="D781" s="631"/>
      <c r="E781" s="631"/>
      <c r="F781" s="140">
        <f>SUM(F777:F780)</f>
        <v>502.43</v>
      </c>
    </row>
    <row r="782" spans="1:6" ht="15.75">
      <c r="A782" s="633" t="s">
        <v>83</v>
      </c>
      <c r="B782" s="633"/>
      <c r="C782" s="633"/>
      <c r="D782" s="633"/>
      <c r="E782" s="633"/>
      <c r="F782" s="140">
        <f>SUM(F775+F781)</f>
        <v>520.02</v>
      </c>
    </row>
    <row r="783" spans="1:6" ht="15.75">
      <c r="A783" s="633" t="s">
        <v>84</v>
      </c>
      <c r="B783" s="633"/>
      <c r="C783" s="633"/>
      <c r="D783" s="633"/>
      <c r="E783" s="633"/>
      <c r="F783" s="140">
        <f>F782</f>
        <v>520.02</v>
      </c>
    </row>
    <row r="784" spans="1:6" ht="15.75">
      <c r="A784" s="22" t="s">
        <v>2</v>
      </c>
      <c r="B784" s="22" t="s">
        <v>62</v>
      </c>
      <c r="C784" s="22" t="s">
        <v>4</v>
      </c>
      <c r="D784" s="22" t="s">
        <v>63</v>
      </c>
      <c r="E784" s="22" t="s">
        <v>64</v>
      </c>
      <c r="F784" s="22" t="s">
        <v>65</v>
      </c>
    </row>
    <row r="785" spans="1:6" ht="15.75">
      <c r="A785" s="114"/>
      <c r="B785" s="629" t="s">
        <v>197</v>
      </c>
      <c r="C785" s="629"/>
      <c r="D785" s="629"/>
      <c r="E785" s="629"/>
      <c r="F785" s="629"/>
    </row>
    <row r="786" spans="1:6" ht="15.75">
      <c r="A786" s="115"/>
      <c r="B786" s="630" t="s">
        <v>66</v>
      </c>
      <c r="C786" s="630"/>
      <c r="D786" s="630"/>
      <c r="E786" s="630"/>
      <c r="F786" s="630"/>
    </row>
    <row r="787" spans="1:6" ht="15.75">
      <c r="A787" s="122" t="s">
        <v>198</v>
      </c>
      <c r="B787" s="117" t="s">
        <v>68</v>
      </c>
      <c r="C787" s="118" t="s">
        <v>69</v>
      </c>
      <c r="D787" s="119">
        <v>2.2999999999999998</v>
      </c>
      <c r="E787" s="121">
        <v>10.7</v>
      </c>
      <c r="F787" s="121">
        <f>E787*D787</f>
        <v>24.61</v>
      </c>
    </row>
    <row r="788" spans="1:6" ht="15.75">
      <c r="A788" s="116" t="s">
        <v>70</v>
      </c>
      <c r="B788" s="117" t="s">
        <v>71</v>
      </c>
      <c r="C788" s="118" t="s">
        <v>69</v>
      </c>
      <c r="D788" s="119">
        <v>3</v>
      </c>
      <c r="E788" s="121">
        <v>8.5299999999999994</v>
      </c>
      <c r="F788" s="121">
        <f>E788*D788</f>
        <v>25.59</v>
      </c>
    </row>
    <row r="789" spans="1:6" ht="15.75">
      <c r="A789" s="631" t="s">
        <v>72</v>
      </c>
      <c r="B789" s="631"/>
      <c r="C789" s="631"/>
      <c r="D789" s="631"/>
      <c r="E789" s="631"/>
      <c r="F789" s="123">
        <f>SUM(F787:F788)</f>
        <v>50.2</v>
      </c>
    </row>
    <row r="790" spans="1:6" ht="15.75">
      <c r="A790" s="631" t="s">
        <v>73</v>
      </c>
      <c r="B790" s="631"/>
      <c r="C790" s="631"/>
      <c r="D790" s="631"/>
      <c r="E790" s="631"/>
      <c r="F790" s="123">
        <f>SUM(F789:F789)</f>
        <v>50.2</v>
      </c>
    </row>
    <row r="791" spans="1:6" ht="15.75">
      <c r="A791" s="157"/>
      <c r="B791" s="630" t="s">
        <v>74</v>
      </c>
      <c r="C791" s="630"/>
      <c r="D791" s="630"/>
      <c r="E791" s="630"/>
      <c r="F791" s="630"/>
    </row>
    <row r="792" spans="1:6" ht="47.25">
      <c r="A792" s="166" t="s">
        <v>147</v>
      </c>
      <c r="B792" s="117" t="s">
        <v>199</v>
      </c>
      <c r="C792" s="118" t="s">
        <v>18</v>
      </c>
      <c r="D792" s="119">
        <v>2</v>
      </c>
      <c r="E792" s="121">
        <v>0.11</v>
      </c>
      <c r="F792" s="121">
        <f t="shared" ref="F792:F800" si="5">E792*D792</f>
        <v>0.22</v>
      </c>
    </row>
    <row r="793" spans="1:6" ht="47.25">
      <c r="A793" s="166" t="s">
        <v>147</v>
      </c>
      <c r="B793" s="117" t="s">
        <v>200</v>
      </c>
      <c r="C793" s="118" t="s">
        <v>18</v>
      </c>
      <c r="D793" s="119">
        <v>2</v>
      </c>
      <c r="E793" s="121">
        <v>0.66</v>
      </c>
      <c r="F793" s="121">
        <f t="shared" si="5"/>
        <v>1.32</v>
      </c>
    </row>
    <row r="794" spans="1:6" ht="15.75">
      <c r="A794" s="116" t="s">
        <v>201</v>
      </c>
      <c r="B794" s="117" t="s">
        <v>202</v>
      </c>
      <c r="C794" s="118" t="s">
        <v>14</v>
      </c>
      <c r="D794" s="119">
        <v>0.25</v>
      </c>
      <c r="E794" s="121">
        <v>3.1</v>
      </c>
      <c r="F794" s="121">
        <f t="shared" si="5"/>
        <v>0.78</v>
      </c>
    </row>
    <row r="795" spans="1:6" ht="15.75">
      <c r="A795" s="116" t="s">
        <v>75</v>
      </c>
      <c r="B795" s="117" t="s">
        <v>76</v>
      </c>
      <c r="C795" s="118" t="s">
        <v>17</v>
      </c>
      <c r="D795" s="119">
        <v>0.56000000000000005</v>
      </c>
      <c r="E795" s="121">
        <v>0.2</v>
      </c>
      <c r="F795" s="121">
        <f t="shared" si="5"/>
        <v>0.11</v>
      </c>
    </row>
    <row r="796" spans="1:6" ht="15.75">
      <c r="A796" s="116" t="s">
        <v>203</v>
      </c>
      <c r="B796" s="117" t="s">
        <v>204</v>
      </c>
      <c r="C796" s="118" t="s">
        <v>18</v>
      </c>
      <c r="D796" s="119">
        <v>1</v>
      </c>
      <c r="E796" s="121">
        <v>3.15</v>
      </c>
      <c r="F796" s="121">
        <f t="shared" si="5"/>
        <v>3.15</v>
      </c>
    </row>
    <row r="797" spans="1:6" ht="15.75">
      <c r="A797" s="116" t="s">
        <v>205</v>
      </c>
      <c r="B797" s="117" t="s">
        <v>206</v>
      </c>
      <c r="C797" s="118" t="s">
        <v>18</v>
      </c>
      <c r="D797" s="119">
        <v>1</v>
      </c>
      <c r="E797" s="121">
        <v>1.65</v>
      </c>
      <c r="F797" s="121">
        <f t="shared" si="5"/>
        <v>1.65</v>
      </c>
    </row>
    <row r="798" spans="1:6" ht="31.5">
      <c r="A798" s="116" t="s">
        <v>207</v>
      </c>
      <c r="B798" s="117" t="s">
        <v>208</v>
      </c>
      <c r="C798" s="118" t="s">
        <v>18</v>
      </c>
      <c r="D798" s="119">
        <v>1</v>
      </c>
      <c r="E798" s="121">
        <v>4.58</v>
      </c>
      <c r="F798" s="121">
        <f t="shared" si="5"/>
        <v>4.58</v>
      </c>
    </row>
    <row r="799" spans="1:6" ht="31.5">
      <c r="A799" s="122" t="s">
        <v>209</v>
      </c>
      <c r="B799" s="117" t="s">
        <v>210</v>
      </c>
      <c r="C799" s="118" t="s">
        <v>18</v>
      </c>
      <c r="D799" s="119">
        <v>1</v>
      </c>
      <c r="E799" s="121">
        <v>400</v>
      </c>
      <c r="F799" s="121">
        <f t="shared" si="5"/>
        <v>400</v>
      </c>
    </row>
    <row r="800" spans="1:6" ht="31.5">
      <c r="A800" s="166" t="s">
        <v>193</v>
      </c>
      <c r="B800" s="117" t="s">
        <v>211</v>
      </c>
      <c r="C800" s="118" t="s">
        <v>18</v>
      </c>
      <c r="D800" s="119">
        <v>1</v>
      </c>
      <c r="E800" s="121">
        <v>156.08000000000001</v>
      </c>
      <c r="F800" s="121">
        <f t="shared" si="5"/>
        <v>156.08000000000001</v>
      </c>
    </row>
    <row r="801" spans="1:6" ht="15.75">
      <c r="A801" s="631" t="s">
        <v>82</v>
      </c>
      <c r="B801" s="631"/>
      <c r="C801" s="631"/>
      <c r="D801" s="631"/>
      <c r="E801" s="631"/>
      <c r="F801" s="123">
        <f>SUM(F792:F800)</f>
        <v>567.89</v>
      </c>
    </row>
    <row r="802" spans="1:6" ht="15.75">
      <c r="A802" s="622" t="s">
        <v>83</v>
      </c>
      <c r="B802" s="622"/>
      <c r="C802" s="622"/>
      <c r="D802" s="622"/>
      <c r="E802" s="622"/>
      <c r="F802" s="123">
        <f>SUM(F790+F801)</f>
        <v>618.09</v>
      </c>
    </row>
    <row r="803" spans="1:6" ht="15.75">
      <c r="A803" s="622" t="s">
        <v>84</v>
      </c>
      <c r="B803" s="622"/>
      <c r="C803" s="622"/>
      <c r="D803" s="622"/>
      <c r="E803" s="622"/>
      <c r="F803" s="123">
        <f>F802</f>
        <v>618.09</v>
      </c>
    </row>
    <row r="804" spans="1:6" ht="15.75">
      <c r="A804" s="22" t="s">
        <v>2</v>
      </c>
      <c r="B804" s="22" t="s">
        <v>62</v>
      </c>
      <c r="C804" s="22" t="s">
        <v>4</v>
      </c>
      <c r="D804" s="22" t="s">
        <v>63</v>
      </c>
      <c r="E804" s="22" t="s">
        <v>64</v>
      </c>
      <c r="F804" s="22" t="s">
        <v>65</v>
      </c>
    </row>
    <row r="805" spans="1:6" ht="15.75">
      <c r="A805" s="134"/>
      <c r="B805" s="632" t="s">
        <v>302</v>
      </c>
      <c r="C805" s="632"/>
      <c r="D805" s="632"/>
      <c r="E805" s="632"/>
      <c r="F805" s="632"/>
    </row>
    <row r="806" spans="1:6" ht="15.75">
      <c r="A806" s="135"/>
      <c r="B806" s="632" t="s">
        <v>66</v>
      </c>
      <c r="C806" s="632"/>
      <c r="D806" s="632"/>
      <c r="E806" s="632"/>
      <c r="F806" s="632"/>
    </row>
    <row r="807" spans="1:6" ht="15.75">
      <c r="A807" s="116" t="s">
        <v>67</v>
      </c>
      <c r="B807" s="136" t="s">
        <v>68</v>
      </c>
      <c r="C807" s="137" t="s">
        <v>69</v>
      </c>
      <c r="D807" s="138">
        <v>1</v>
      </c>
      <c r="E807" s="139">
        <v>10.7</v>
      </c>
      <c r="F807" s="139">
        <f>E807*D807</f>
        <v>10.7</v>
      </c>
    </row>
    <row r="808" spans="1:6" ht="15.75">
      <c r="A808" s="116" t="s">
        <v>70</v>
      </c>
      <c r="B808" s="136" t="s">
        <v>71</v>
      </c>
      <c r="C808" s="137" t="s">
        <v>69</v>
      </c>
      <c r="D808" s="138">
        <v>1</v>
      </c>
      <c r="E808" s="139">
        <v>8.5299999999999994</v>
      </c>
      <c r="F808" s="139">
        <f>E808*D808</f>
        <v>8.5299999999999994</v>
      </c>
    </row>
    <row r="809" spans="1:6" ht="15.75">
      <c r="A809" s="631" t="s">
        <v>72</v>
      </c>
      <c r="B809" s="631"/>
      <c r="C809" s="631"/>
      <c r="D809" s="631"/>
      <c r="E809" s="631"/>
      <c r="F809" s="140">
        <f>SUM(F807:F808)</f>
        <v>19.23</v>
      </c>
    </row>
    <row r="810" spans="1:6" ht="15.75">
      <c r="A810" s="631" t="s">
        <v>73</v>
      </c>
      <c r="B810" s="631"/>
      <c r="C810" s="631"/>
      <c r="D810" s="631"/>
      <c r="E810" s="631"/>
      <c r="F810" s="140">
        <f>SUM(F809:F809)</f>
        <v>19.23</v>
      </c>
    </row>
    <row r="811" spans="1:6" ht="15.75">
      <c r="A811" s="174"/>
      <c r="B811" s="632" t="s">
        <v>74</v>
      </c>
      <c r="C811" s="632"/>
      <c r="D811" s="632"/>
      <c r="E811" s="632"/>
      <c r="F811" s="632"/>
    </row>
    <row r="812" spans="1:6" ht="15.75">
      <c r="A812" s="122" t="s">
        <v>303</v>
      </c>
      <c r="B812" s="136" t="s">
        <v>304</v>
      </c>
      <c r="C812" s="137" t="s">
        <v>18</v>
      </c>
      <c r="D812" s="138">
        <v>1</v>
      </c>
      <c r="E812" s="139">
        <v>4.01</v>
      </c>
      <c r="F812" s="139">
        <f>E812*D812</f>
        <v>4.01</v>
      </c>
    </row>
    <row r="813" spans="1:6" ht="15.75">
      <c r="A813" s="116" t="s">
        <v>305</v>
      </c>
      <c r="B813" s="136" t="s">
        <v>306</v>
      </c>
      <c r="C813" s="137" t="s">
        <v>18</v>
      </c>
      <c r="D813" s="138">
        <v>1</v>
      </c>
      <c r="E813" s="139">
        <v>13.44</v>
      </c>
      <c r="F813" s="139">
        <f>E813*D813</f>
        <v>13.44</v>
      </c>
    </row>
    <row r="814" spans="1:6" ht="15.75">
      <c r="A814" s="116" t="s">
        <v>307</v>
      </c>
      <c r="B814" s="175" t="s">
        <v>308</v>
      </c>
      <c r="C814" s="137" t="s">
        <v>18</v>
      </c>
      <c r="D814" s="138">
        <v>1</v>
      </c>
      <c r="E814" s="139">
        <v>126.24</v>
      </c>
      <c r="F814" s="139">
        <f>E814*D814</f>
        <v>126.24</v>
      </c>
    </row>
    <row r="815" spans="1:6" ht="15.75">
      <c r="A815" s="116" t="s">
        <v>309</v>
      </c>
      <c r="B815" s="175" t="s">
        <v>310</v>
      </c>
      <c r="C815" s="137" t="s">
        <v>18</v>
      </c>
      <c r="D815" s="138">
        <v>1</v>
      </c>
      <c r="E815" s="139">
        <v>24.33</v>
      </c>
      <c r="F815" s="139">
        <f>E815*D815</f>
        <v>24.33</v>
      </c>
    </row>
    <row r="816" spans="1:6" ht="15.75">
      <c r="A816" s="116" t="s">
        <v>75</v>
      </c>
      <c r="B816" s="136" t="s">
        <v>76</v>
      </c>
      <c r="C816" s="137" t="s">
        <v>17</v>
      </c>
      <c r="D816" s="138">
        <v>0.25</v>
      </c>
      <c r="E816" s="139">
        <v>0.2</v>
      </c>
      <c r="F816" s="139">
        <f>E816*D816</f>
        <v>0.05</v>
      </c>
    </row>
    <row r="817" spans="1:6" ht="15.75">
      <c r="A817" s="631" t="s">
        <v>82</v>
      </c>
      <c r="B817" s="631"/>
      <c r="C817" s="631"/>
      <c r="D817" s="631"/>
      <c r="E817" s="631"/>
      <c r="F817" s="140">
        <f>SUM(F812:F816)</f>
        <v>168.07</v>
      </c>
    </row>
    <row r="818" spans="1:6" ht="15.75">
      <c r="A818" s="633" t="s">
        <v>83</v>
      </c>
      <c r="B818" s="633"/>
      <c r="C818" s="633"/>
      <c r="D818" s="633"/>
      <c r="E818" s="633"/>
      <c r="F818" s="140">
        <f>SUM(F810+F817)</f>
        <v>187.3</v>
      </c>
    </row>
    <row r="819" spans="1:6" ht="15.75">
      <c r="A819" s="633" t="s">
        <v>84</v>
      </c>
      <c r="B819" s="633"/>
      <c r="C819" s="633"/>
      <c r="D819" s="633"/>
      <c r="E819" s="633"/>
      <c r="F819" s="140">
        <f>F818</f>
        <v>187.3</v>
      </c>
    </row>
    <row r="820" spans="1:6" ht="15.75">
      <c r="A820" s="22" t="s">
        <v>2</v>
      </c>
      <c r="B820" s="22" t="s">
        <v>62</v>
      </c>
      <c r="C820" s="22" t="s">
        <v>4</v>
      </c>
      <c r="D820" s="22" t="s">
        <v>63</v>
      </c>
      <c r="E820" s="22" t="s">
        <v>64</v>
      </c>
      <c r="F820" s="22" t="s">
        <v>65</v>
      </c>
    </row>
    <row r="821" spans="1:6" ht="15.75">
      <c r="A821" s="134"/>
      <c r="B821" s="632" t="s">
        <v>311</v>
      </c>
      <c r="C821" s="632"/>
      <c r="D821" s="632"/>
      <c r="E821" s="632"/>
      <c r="F821" s="632"/>
    </row>
    <row r="822" spans="1:6" ht="15.75">
      <c r="A822" s="135"/>
      <c r="B822" s="632" t="s">
        <v>66</v>
      </c>
      <c r="C822" s="632"/>
      <c r="D822" s="632"/>
      <c r="E822" s="632"/>
      <c r="F822" s="632"/>
    </row>
    <row r="823" spans="1:6" ht="15.75">
      <c r="A823" s="116" t="s">
        <v>67</v>
      </c>
      <c r="B823" s="136" t="s">
        <v>68</v>
      </c>
      <c r="C823" s="137" t="s">
        <v>69</v>
      </c>
      <c r="D823" s="138">
        <v>0.5</v>
      </c>
      <c r="E823" s="139">
        <v>9.82</v>
      </c>
      <c r="F823" s="139">
        <f>E823*D823</f>
        <v>4.91</v>
      </c>
    </row>
    <row r="824" spans="1:6" ht="15.75">
      <c r="A824" s="116" t="s">
        <v>70</v>
      </c>
      <c r="B824" s="136" t="s">
        <v>71</v>
      </c>
      <c r="C824" s="137" t="s">
        <v>69</v>
      </c>
      <c r="D824" s="138">
        <v>0.4</v>
      </c>
      <c r="E824" s="139">
        <v>7.83</v>
      </c>
      <c r="F824" s="139">
        <f>E824*D824</f>
        <v>3.13</v>
      </c>
    </row>
    <row r="825" spans="1:6" ht="15.75">
      <c r="A825" s="631" t="s">
        <v>72</v>
      </c>
      <c r="B825" s="631"/>
      <c r="C825" s="631"/>
      <c r="D825" s="631"/>
      <c r="E825" s="631"/>
      <c r="F825" s="140">
        <f>SUM(F823:F824)</f>
        <v>8.0399999999999991</v>
      </c>
    </row>
    <row r="826" spans="1:6" ht="15.75">
      <c r="A826" s="631" t="s">
        <v>73</v>
      </c>
      <c r="B826" s="631"/>
      <c r="C826" s="631"/>
      <c r="D826" s="631"/>
      <c r="E826" s="631"/>
      <c r="F826" s="140">
        <f>SUM(F825:F825)</f>
        <v>8.0399999999999991</v>
      </c>
    </row>
    <row r="827" spans="1:6" ht="15.75">
      <c r="A827" s="174"/>
      <c r="B827" s="632" t="s">
        <v>74</v>
      </c>
      <c r="C827" s="632"/>
      <c r="D827" s="632"/>
      <c r="E827" s="632"/>
      <c r="F827" s="632"/>
    </row>
    <row r="828" spans="1:6" ht="15.75">
      <c r="A828" s="122" t="s">
        <v>303</v>
      </c>
      <c r="B828" s="136" t="s">
        <v>304</v>
      </c>
      <c r="C828" s="137" t="s">
        <v>18</v>
      </c>
      <c r="D828" s="138">
        <v>1</v>
      </c>
      <c r="E828" s="139">
        <v>4.03</v>
      </c>
      <c r="F828" s="139">
        <f>E828*D828</f>
        <v>4.03</v>
      </c>
    </row>
    <row r="829" spans="1:6" ht="15.75">
      <c r="A829" s="116" t="s">
        <v>305</v>
      </c>
      <c r="B829" s="136" t="s">
        <v>306</v>
      </c>
      <c r="C829" s="137" t="s">
        <v>18</v>
      </c>
      <c r="D829" s="138">
        <v>1</v>
      </c>
      <c r="E829" s="139">
        <v>11.32</v>
      </c>
      <c r="F829" s="139">
        <f>E829*D829</f>
        <v>11.32</v>
      </c>
    </row>
    <row r="830" spans="1:6" ht="15.75">
      <c r="A830" s="122" t="s">
        <v>313</v>
      </c>
      <c r="B830" s="175" t="s">
        <v>312</v>
      </c>
      <c r="C830" s="137" t="s">
        <v>18</v>
      </c>
      <c r="D830" s="138">
        <v>1</v>
      </c>
      <c r="E830" s="139">
        <v>48.78</v>
      </c>
      <c r="F830" s="139">
        <f>E830*D830</f>
        <v>48.78</v>
      </c>
    </row>
    <row r="831" spans="1:6" ht="15.75">
      <c r="A831" s="116" t="s">
        <v>309</v>
      </c>
      <c r="B831" s="175" t="s">
        <v>310</v>
      </c>
      <c r="C831" s="137" t="s">
        <v>18</v>
      </c>
      <c r="D831" s="138">
        <v>1</v>
      </c>
      <c r="E831" s="139">
        <v>20.14</v>
      </c>
      <c r="F831" s="139">
        <f>E831*D831</f>
        <v>20.14</v>
      </c>
    </row>
    <row r="832" spans="1:6" ht="15.75">
      <c r="A832" s="116" t="s">
        <v>75</v>
      </c>
      <c r="B832" s="136" t="s">
        <v>76</v>
      </c>
      <c r="C832" s="137" t="s">
        <v>17</v>
      </c>
      <c r="D832" s="138">
        <v>0.25</v>
      </c>
      <c r="E832" s="139">
        <v>0.19</v>
      </c>
      <c r="F832" s="139">
        <f>E832*D832</f>
        <v>0.05</v>
      </c>
    </row>
    <row r="833" spans="1:6" ht="15.75">
      <c r="A833" s="631" t="s">
        <v>82</v>
      </c>
      <c r="B833" s="631"/>
      <c r="C833" s="631"/>
      <c r="D833" s="631"/>
      <c r="E833" s="631"/>
      <c r="F833" s="140">
        <f>SUM(F828:F832)</f>
        <v>84.32</v>
      </c>
    </row>
    <row r="834" spans="1:6" ht="15.75">
      <c r="A834" s="633" t="s">
        <v>83</v>
      </c>
      <c r="B834" s="633"/>
      <c r="C834" s="633"/>
      <c r="D834" s="633"/>
      <c r="E834" s="633"/>
      <c r="F834" s="140">
        <f>SUM(F826+F833)</f>
        <v>92.36</v>
      </c>
    </row>
    <row r="835" spans="1:6" ht="15.75">
      <c r="A835" s="633" t="s">
        <v>84</v>
      </c>
      <c r="B835" s="633"/>
      <c r="C835" s="633"/>
      <c r="D835" s="633"/>
      <c r="E835" s="633"/>
      <c r="F835" s="140">
        <f>F834</f>
        <v>92.36</v>
      </c>
    </row>
    <row r="836" spans="1:6" ht="15.75">
      <c r="A836" s="22" t="s">
        <v>2</v>
      </c>
      <c r="B836" s="22" t="s">
        <v>62</v>
      </c>
      <c r="C836" s="22" t="s">
        <v>4</v>
      </c>
      <c r="D836" s="22" t="s">
        <v>63</v>
      </c>
      <c r="E836" s="22" t="s">
        <v>64</v>
      </c>
      <c r="F836" s="22" t="s">
        <v>65</v>
      </c>
    </row>
    <row r="837" spans="1:6" ht="15.75">
      <c r="A837" s="167"/>
      <c r="B837" s="663" t="s">
        <v>359</v>
      </c>
      <c r="C837" s="663"/>
      <c r="D837" s="663"/>
      <c r="E837" s="663"/>
      <c r="F837" s="663"/>
    </row>
    <row r="838" spans="1:6" ht="15.75">
      <c r="A838" s="168"/>
      <c r="B838" s="630" t="s">
        <v>66</v>
      </c>
      <c r="C838" s="630"/>
      <c r="D838" s="630"/>
      <c r="E838" s="630"/>
      <c r="F838" s="630"/>
    </row>
    <row r="839" spans="1:6" ht="15.75">
      <c r="A839" s="116" t="s">
        <v>121</v>
      </c>
      <c r="B839" s="169" t="s">
        <v>122</v>
      </c>
      <c r="C839" s="170" t="s">
        <v>69</v>
      </c>
      <c r="D839" s="171">
        <v>0.25</v>
      </c>
      <c r="E839" s="121">
        <v>10.7</v>
      </c>
      <c r="F839" s="172">
        <f>D839*E839</f>
        <v>2.68</v>
      </c>
    </row>
    <row r="840" spans="1:6" ht="15.75">
      <c r="A840" s="122" t="s">
        <v>123</v>
      </c>
      <c r="B840" s="169" t="s">
        <v>124</v>
      </c>
      <c r="C840" s="170" t="s">
        <v>69</v>
      </c>
      <c r="D840" s="171">
        <v>0.25</v>
      </c>
      <c r="E840" s="121">
        <v>8.3800000000000008</v>
      </c>
      <c r="F840" s="172">
        <f>D840*E840</f>
        <v>2.1</v>
      </c>
    </row>
    <row r="841" spans="1:6" ht="15.75">
      <c r="A841" s="631" t="s">
        <v>72</v>
      </c>
      <c r="B841" s="631"/>
      <c r="C841" s="631"/>
      <c r="D841" s="631"/>
      <c r="E841" s="631"/>
      <c r="F841" s="173">
        <f>SUM(F839:F840)</f>
        <v>4.78</v>
      </c>
    </row>
    <row r="842" spans="1:6" ht="15.75">
      <c r="A842" s="631" t="s">
        <v>73</v>
      </c>
      <c r="B842" s="631"/>
      <c r="C842" s="631"/>
      <c r="D842" s="631"/>
      <c r="E842" s="631"/>
      <c r="F842" s="173">
        <f>SUM(F841:F841)</f>
        <v>4.78</v>
      </c>
    </row>
    <row r="843" spans="1:6" ht="15.75">
      <c r="A843" s="168"/>
      <c r="B843" s="630" t="s">
        <v>74</v>
      </c>
      <c r="C843" s="630"/>
      <c r="D843" s="630"/>
      <c r="E843" s="630"/>
      <c r="F843" s="630"/>
    </row>
    <row r="844" spans="1:6" ht="15.75">
      <c r="A844" s="122" t="s">
        <v>189</v>
      </c>
      <c r="B844" s="169" t="s">
        <v>190</v>
      </c>
      <c r="C844" s="170" t="s">
        <v>18</v>
      </c>
      <c r="D844" s="171">
        <v>4</v>
      </c>
      <c r="E844" s="172">
        <v>0.2</v>
      </c>
      <c r="F844" s="172">
        <f>D844*E844</f>
        <v>0.8</v>
      </c>
    </row>
    <row r="845" spans="1:6" ht="31.5">
      <c r="A845" s="122" t="s">
        <v>191</v>
      </c>
      <c r="B845" s="169" t="s">
        <v>192</v>
      </c>
      <c r="C845" s="170" t="s">
        <v>18</v>
      </c>
      <c r="D845" s="171">
        <v>4</v>
      </c>
      <c r="E845" s="172">
        <v>0.3</v>
      </c>
      <c r="F845" s="172">
        <f>D845*E845</f>
        <v>1.2</v>
      </c>
    </row>
    <row r="846" spans="1:6" ht="15.75">
      <c r="A846" s="166" t="s">
        <v>361</v>
      </c>
      <c r="B846" s="169" t="s">
        <v>360</v>
      </c>
      <c r="C846" s="170" t="s">
        <v>18</v>
      </c>
      <c r="D846" s="171">
        <v>1</v>
      </c>
      <c r="E846" s="172">
        <v>26</v>
      </c>
      <c r="F846" s="172">
        <f>D846*E846</f>
        <v>26</v>
      </c>
    </row>
    <row r="847" spans="1:6" ht="15.75">
      <c r="A847" s="631" t="s">
        <v>82</v>
      </c>
      <c r="B847" s="631"/>
      <c r="C847" s="631"/>
      <c r="D847" s="631"/>
      <c r="E847" s="631"/>
      <c r="F847" s="173">
        <f>SUM(F844:F846)</f>
        <v>28</v>
      </c>
    </row>
    <row r="848" spans="1:6" ht="15.75">
      <c r="A848" s="664" t="s">
        <v>83</v>
      </c>
      <c r="B848" s="664"/>
      <c r="C848" s="664"/>
      <c r="D848" s="664"/>
      <c r="E848" s="664"/>
      <c r="F848" s="173">
        <f>SUM(F842+F847)</f>
        <v>32.78</v>
      </c>
    </row>
    <row r="849" spans="1:6" ht="15.75">
      <c r="A849" s="664" t="s">
        <v>84</v>
      </c>
      <c r="B849" s="664"/>
      <c r="C849" s="664"/>
      <c r="D849" s="664"/>
      <c r="E849" s="664"/>
      <c r="F849" s="173">
        <f>F848</f>
        <v>32.78</v>
      </c>
    </row>
    <row r="850" spans="1:6" ht="15.75">
      <c r="A850" s="22" t="s">
        <v>2</v>
      </c>
      <c r="B850" s="22" t="s">
        <v>62</v>
      </c>
      <c r="C850" s="22" t="s">
        <v>4</v>
      </c>
      <c r="D850" s="22" t="s">
        <v>63</v>
      </c>
      <c r="E850" s="22" t="s">
        <v>64</v>
      </c>
      <c r="F850" s="22" t="s">
        <v>65</v>
      </c>
    </row>
    <row r="851" spans="1:6" ht="15.75">
      <c r="A851" s="114"/>
      <c r="B851" s="617" t="s">
        <v>362</v>
      </c>
      <c r="C851" s="617"/>
      <c r="D851" s="617"/>
      <c r="E851" s="617"/>
      <c r="F851" s="617"/>
    </row>
    <row r="852" spans="1:6" ht="15.75">
      <c r="A852" s="115"/>
      <c r="B852" s="629" t="s">
        <v>66</v>
      </c>
      <c r="C852" s="629"/>
      <c r="D852" s="629"/>
      <c r="E852" s="629"/>
      <c r="F852" s="629"/>
    </row>
    <row r="853" spans="1:6" ht="15.75">
      <c r="A853" s="116" t="s">
        <v>67</v>
      </c>
      <c r="B853" s="117" t="s">
        <v>68</v>
      </c>
      <c r="C853" s="118" t="s">
        <v>69</v>
      </c>
      <c r="D853" s="119">
        <v>0.28000000000000003</v>
      </c>
      <c r="E853" s="120">
        <v>10.7</v>
      </c>
      <c r="F853" s="121">
        <f>E853*D853</f>
        <v>3</v>
      </c>
    </row>
    <row r="854" spans="1:6" ht="15.75">
      <c r="A854" s="116" t="s">
        <v>70</v>
      </c>
      <c r="B854" s="117" t="s">
        <v>71</v>
      </c>
      <c r="C854" s="118" t="s">
        <v>69</v>
      </c>
      <c r="D854" s="119">
        <v>0.28000000000000003</v>
      </c>
      <c r="E854" s="120">
        <v>8.4700000000000006</v>
      </c>
      <c r="F854" s="121">
        <f>E854*D854</f>
        <v>2.37</v>
      </c>
    </row>
    <row r="855" spans="1:6" ht="15.75">
      <c r="A855" s="631" t="s">
        <v>72</v>
      </c>
      <c r="B855" s="631"/>
      <c r="C855" s="631"/>
      <c r="D855" s="631"/>
      <c r="E855" s="631"/>
      <c r="F855" s="123">
        <f>SUM(F853:F854)</f>
        <v>5.37</v>
      </c>
    </row>
    <row r="856" spans="1:6" ht="15.75">
      <c r="A856" s="631" t="s">
        <v>73</v>
      </c>
      <c r="B856" s="631"/>
      <c r="C856" s="631"/>
      <c r="D856" s="631"/>
      <c r="E856" s="631"/>
      <c r="F856" s="123">
        <f>SUM(F855:F855)</f>
        <v>5.37</v>
      </c>
    </row>
    <row r="857" spans="1:6" ht="15.75">
      <c r="A857" s="232"/>
      <c r="B857" s="629" t="s">
        <v>74</v>
      </c>
      <c r="C857" s="629"/>
      <c r="D857" s="629"/>
      <c r="E857" s="629"/>
      <c r="F857" s="629"/>
    </row>
    <row r="858" spans="1:6" ht="15.75">
      <c r="A858" s="122" t="s">
        <v>363</v>
      </c>
      <c r="B858" s="117" t="s">
        <v>364</v>
      </c>
      <c r="C858" s="118" t="s">
        <v>18</v>
      </c>
      <c r="D858" s="119">
        <v>1</v>
      </c>
      <c r="E858" s="121">
        <v>1.7</v>
      </c>
      <c r="F858" s="121">
        <f>E858*D858</f>
        <v>1.7</v>
      </c>
    </row>
    <row r="859" spans="1:6" ht="15.75">
      <c r="A859" s="122" t="s">
        <v>104</v>
      </c>
      <c r="B859" s="117" t="s">
        <v>105</v>
      </c>
      <c r="C859" s="118" t="s">
        <v>14</v>
      </c>
      <c r="D859" s="119">
        <v>0.01</v>
      </c>
      <c r="E859" s="121">
        <v>46.3</v>
      </c>
      <c r="F859" s="121">
        <f>E859*D859</f>
        <v>0.46</v>
      </c>
    </row>
    <row r="860" spans="1:6" ht="31.5">
      <c r="A860" s="122" t="s">
        <v>106</v>
      </c>
      <c r="B860" s="117" t="s">
        <v>107</v>
      </c>
      <c r="C860" s="118" t="s">
        <v>18</v>
      </c>
      <c r="D860" s="119">
        <v>1</v>
      </c>
      <c r="E860" s="121">
        <v>0.83</v>
      </c>
      <c r="F860" s="121">
        <f>E860*D860</f>
        <v>0.83</v>
      </c>
    </row>
    <row r="861" spans="1:6" ht="15.75">
      <c r="A861" s="631" t="s">
        <v>82</v>
      </c>
      <c r="B861" s="631"/>
      <c r="C861" s="631"/>
      <c r="D861" s="631"/>
      <c r="E861" s="631"/>
      <c r="F861" s="123">
        <f>SUM(F858:F860)</f>
        <v>2.99</v>
      </c>
    </row>
    <row r="862" spans="1:6" ht="15.75">
      <c r="A862" s="622" t="s">
        <v>83</v>
      </c>
      <c r="B862" s="622"/>
      <c r="C862" s="622"/>
      <c r="D862" s="622"/>
      <c r="E862" s="622"/>
      <c r="F862" s="123">
        <f>SUM(F856+F861)</f>
        <v>8.36</v>
      </c>
    </row>
    <row r="863" spans="1:6" ht="15.75">
      <c r="A863" s="622" t="s">
        <v>84</v>
      </c>
      <c r="B863" s="622"/>
      <c r="C863" s="622"/>
      <c r="D863" s="622"/>
      <c r="E863" s="622"/>
      <c r="F863" s="123">
        <f>F862</f>
        <v>8.36</v>
      </c>
    </row>
    <row r="864" spans="1:6" ht="15.75">
      <c r="A864" s="22" t="s">
        <v>2</v>
      </c>
      <c r="B864" s="22" t="s">
        <v>62</v>
      </c>
      <c r="C864" s="22" t="s">
        <v>4</v>
      </c>
      <c r="D864" s="22" t="s">
        <v>63</v>
      </c>
      <c r="E864" s="22" t="s">
        <v>64</v>
      </c>
      <c r="F864" s="22" t="s">
        <v>65</v>
      </c>
    </row>
    <row r="865" spans="1:6" ht="15.75">
      <c r="A865" s="114"/>
      <c r="B865" s="617" t="s">
        <v>314</v>
      </c>
      <c r="C865" s="617"/>
      <c r="D865" s="617"/>
      <c r="E865" s="617"/>
      <c r="F865" s="617"/>
    </row>
    <row r="866" spans="1:6" ht="15.75">
      <c r="A866" s="115"/>
      <c r="B866" s="629" t="s">
        <v>66</v>
      </c>
      <c r="C866" s="629"/>
      <c r="D866" s="629"/>
      <c r="E866" s="629"/>
      <c r="F866" s="629"/>
    </row>
    <row r="867" spans="1:6" ht="15.75">
      <c r="A867" s="116" t="s">
        <v>67</v>
      </c>
      <c r="B867" s="117" t="s">
        <v>68</v>
      </c>
      <c r="C867" s="118" t="s">
        <v>69</v>
      </c>
      <c r="D867" s="119">
        <v>0.28000000000000003</v>
      </c>
      <c r="E867" s="120">
        <v>10.7</v>
      </c>
      <c r="F867" s="121">
        <f>E867*D867</f>
        <v>3</v>
      </c>
    </row>
    <row r="868" spans="1:6" ht="15.75">
      <c r="A868" s="116" t="s">
        <v>70</v>
      </c>
      <c r="B868" s="117" t="s">
        <v>71</v>
      </c>
      <c r="C868" s="118" t="s">
        <v>69</v>
      </c>
      <c r="D868" s="119">
        <v>0.28000000000000003</v>
      </c>
      <c r="E868" s="120">
        <v>8.4700000000000006</v>
      </c>
      <c r="F868" s="121">
        <f>E868*D868</f>
        <v>2.37</v>
      </c>
    </row>
    <row r="869" spans="1:6" ht="15.75">
      <c r="A869" s="631" t="s">
        <v>72</v>
      </c>
      <c r="B869" s="631"/>
      <c r="C869" s="631"/>
      <c r="D869" s="631"/>
      <c r="E869" s="631"/>
      <c r="F869" s="123">
        <f>SUM(F867:F868)</f>
        <v>5.37</v>
      </c>
    </row>
    <row r="870" spans="1:6" ht="15.75">
      <c r="A870" s="631" t="s">
        <v>73</v>
      </c>
      <c r="B870" s="631"/>
      <c r="C870" s="631"/>
      <c r="D870" s="631"/>
      <c r="E870" s="631"/>
      <c r="F870" s="123">
        <f>SUM(F869:F869)</f>
        <v>5.37</v>
      </c>
    </row>
    <row r="871" spans="1:6" ht="15.75">
      <c r="A871" s="232"/>
      <c r="B871" s="629" t="s">
        <v>74</v>
      </c>
      <c r="C871" s="629"/>
      <c r="D871" s="629"/>
      <c r="E871" s="629"/>
      <c r="F871" s="629"/>
    </row>
    <row r="872" spans="1:6" ht="15.75">
      <c r="A872" s="122" t="s">
        <v>366</v>
      </c>
      <c r="B872" s="117" t="s">
        <v>365</v>
      </c>
      <c r="C872" s="118" t="s">
        <v>18</v>
      </c>
      <c r="D872" s="119">
        <v>1</v>
      </c>
      <c r="E872" s="121">
        <v>6.89</v>
      </c>
      <c r="F872" s="121">
        <f>E872*D872</f>
        <v>6.89</v>
      </c>
    </row>
    <row r="873" spans="1:6" ht="15.75">
      <c r="A873" s="122" t="s">
        <v>104</v>
      </c>
      <c r="B873" s="117" t="s">
        <v>105</v>
      </c>
      <c r="C873" s="118" t="s">
        <v>14</v>
      </c>
      <c r="D873" s="119">
        <v>0.01</v>
      </c>
      <c r="E873" s="121">
        <v>46.3</v>
      </c>
      <c r="F873" s="121">
        <f>E873*D873</f>
        <v>0.46</v>
      </c>
    </row>
    <row r="874" spans="1:6" ht="31.5">
      <c r="A874" s="122" t="s">
        <v>106</v>
      </c>
      <c r="B874" s="117" t="s">
        <v>107</v>
      </c>
      <c r="C874" s="118" t="s">
        <v>18</v>
      </c>
      <c r="D874" s="119">
        <v>1</v>
      </c>
      <c r="E874" s="121">
        <v>0.83</v>
      </c>
      <c r="F874" s="121">
        <f>E874*D874</f>
        <v>0.83</v>
      </c>
    </row>
    <row r="875" spans="1:6" ht="15.75">
      <c r="A875" s="631" t="s">
        <v>82</v>
      </c>
      <c r="B875" s="631"/>
      <c r="C875" s="631"/>
      <c r="D875" s="631"/>
      <c r="E875" s="631"/>
      <c r="F875" s="123">
        <f>SUM(F872:F874)</f>
        <v>8.18</v>
      </c>
    </row>
    <row r="876" spans="1:6" ht="15.75">
      <c r="A876" s="622" t="s">
        <v>83</v>
      </c>
      <c r="B876" s="622"/>
      <c r="C876" s="622"/>
      <c r="D876" s="622"/>
      <c r="E876" s="622"/>
      <c r="F876" s="123">
        <f>SUM(F870+F875)</f>
        <v>13.55</v>
      </c>
    </row>
    <row r="877" spans="1:6" ht="15.75">
      <c r="A877" s="622" t="s">
        <v>84</v>
      </c>
      <c r="B877" s="622"/>
      <c r="C877" s="622"/>
      <c r="D877" s="622"/>
      <c r="E877" s="622"/>
      <c r="F877" s="123">
        <f>F876</f>
        <v>13.55</v>
      </c>
    </row>
    <row r="878" spans="1:6" ht="15.75">
      <c r="A878" s="22" t="s">
        <v>2</v>
      </c>
      <c r="B878" s="22" t="s">
        <v>62</v>
      </c>
      <c r="C878" s="22" t="s">
        <v>4</v>
      </c>
      <c r="D878" s="22" t="s">
        <v>63</v>
      </c>
      <c r="E878" s="22" t="s">
        <v>64</v>
      </c>
      <c r="F878" s="22" t="s">
        <v>65</v>
      </c>
    </row>
    <row r="879" spans="1:6" ht="15.75">
      <c r="A879" s="150"/>
      <c r="B879" s="734" t="s">
        <v>367</v>
      </c>
      <c r="C879" s="735"/>
      <c r="D879" s="735"/>
      <c r="E879" s="735"/>
      <c r="F879" s="736"/>
    </row>
    <row r="880" spans="1:6" ht="15.75">
      <c r="A880" s="151"/>
      <c r="B880" s="629" t="s">
        <v>66</v>
      </c>
      <c r="C880" s="629"/>
      <c r="D880" s="629"/>
      <c r="E880" s="629"/>
      <c r="F880" s="629"/>
    </row>
    <row r="881" spans="1:6" ht="15.75">
      <c r="A881" s="116" t="s">
        <v>67</v>
      </c>
      <c r="B881" s="152" t="s">
        <v>68</v>
      </c>
      <c r="C881" s="153" t="s">
        <v>69</v>
      </c>
      <c r="D881" s="154">
        <v>0.3</v>
      </c>
      <c r="E881" s="120">
        <v>10.7</v>
      </c>
      <c r="F881" s="120">
        <f>E881*D881</f>
        <v>3.21</v>
      </c>
    </row>
    <row r="882" spans="1:6" ht="15.75">
      <c r="A882" s="116" t="s">
        <v>70</v>
      </c>
      <c r="B882" s="152" t="s">
        <v>71</v>
      </c>
      <c r="C882" s="153" t="s">
        <v>69</v>
      </c>
      <c r="D882" s="154">
        <v>0.3</v>
      </c>
      <c r="E882" s="120">
        <v>8.4700000000000006</v>
      </c>
      <c r="F882" s="120">
        <f>E882*D882</f>
        <v>2.54</v>
      </c>
    </row>
    <row r="883" spans="1:6" ht="15.75">
      <c r="A883" s="737" t="s">
        <v>72</v>
      </c>
      <c r="B883" s="738"/>
      <c r="C883" s="738"/>
      <c r="D883" s="738"/>
      <c r="E883" s="725"/>
      <c r="F883" s="155">
        <f>SUM(F881:F882)</f>
        <v>5.75</v>
      </c>
    </row>
    <row r="884" spans="1:6" ht="15.75">
      <c r="A884" s="737" t="s">
        <v>73</v>
      </c>
      <c r="B884" s="738"/>
      <c r="C884" s="738"/>
      <c r="D884" s="738"/>
      <c r="E884" s="725"/>
      <c r="F884" s="155">
        <f>SUM(F883:F883)</f>
        <v>5.75</v>
      </c>
    </row>
    <row r="885" spans="1:6" ht="15.75">
      <c r="A885" s="232"/>
      <c r="B885" s="739" t="s">
        <v>74</v>
      </c>
      <c r="C885" s="740"/>
      <c r="D885" s="740"/>
      <c r="E885" s="740"/>
      <c r="F885" s="741"/>
    </row>
    <row r="886" spans="1:6" ht="15.75">
      <c r="A886" s="122" t="s">
        <v>368</v>
      </c>
      <c r="B886" s="152" t="s">
        <v>103</v>
      </c>
      <c r="C886" s="153" t="s">
        <v>18</v>
      </c>
      <c r="D886" s="154">
        <v>1</v>
      </c>
      <c r="E886" s="120">
        <v>33.85</v>
      </c>
      <c r="F886" s="120">
        <f>E886*D886</f>
        <v>33.85</v>
      </c>
    </row>
    <row r="887" spans="1:6" ht="15.75">
      <c r="A887" s="116" t="s">
        <v>77</v>
      </c>
      <c r="B887" s="152" t="s">
        <v>78</v>
      </c>
      <c r="C887" s="153" t="s">
        <v>81</v>
      </c>
      <c r="D887" s="154">
        <v>1.32E-2</v>
      </c>
      <c r="E887" s="139">
        <v>31.96</v>
      </c>
      <c r="F887" s="120">
        <f>E887*D887</f>
        <v>0.42</v>
      </c>
    </row>
    <row r="888" spans="1:6" ht="15.75">
      <c r="A888" s="116" t="s">
        <v>79</v>
      </c>
      <c r="B888" s="152" t="s">
        <v>80</v>
      </c>
      <c r="C888" s="153" t="s">
        <v>81</v>
      </c>
      <c r="D888" s="154">
        <v>6.0000000000000001E-3</v>
      </c>
      <c r="E888" s="139">
        <v>37.85</v>
      </c>
      <c r="F888" s="120">
        <f>E888*D888</f>
        <v>0.23</v>
      </c>
    </row>
    <row r="889" spans="1:6" ht="15.75">
      <c r="A889" s="737" t="s">
        <v>82</v>
      </c>
      <c r="B889" s="738"/>
      <c r="C889" s="738"/>
      <c r="D889" s="738"/>
      <c r="E889" s="725"/>
      <c r="F889" s="155">
        <f>SUM(F886:F888)</f>
        <v>34.5</v>
      </c>
    </row>
    <row r="890" spans="1:6" ht="15.75">
      <c r="A890" s="692" t="s">
        <v>83</v>
      </c>
      <c r="B890" s="693"/>
      <c r="C890" s="693"/>
      <c r="D890" s="693"/>
      <c r="E890" s="694"/>
      <c r="F890" s="155">
        <f>SUM(F884+F889)</f>
        <v>40.25</v>
      </c>
    </row>
    <row r="891" spans="1:6" ht="15.75">
      <c r="A891" s="692" t="s">
        <v>84</v>
      </c>
      <c r="B891" s="693"/>
      <c r="C891" s="693"/>
      <c r="D891" s="693"/>
      <c r="E891" s="694"/>
      <c r="F891" s="155">
        <f>F890</f>
        <v>40.25</v>
      </c>
    </row>
    <row r="892" spans="1:6" ht="15.75">
      <c r="A892" s="22" t="s">
        <v>2</v>
      </c>
      <c r="B892" s="22" t="s">
        <v>62</v>
      </c>
      <c r="C892" s="22" t="s">
        <v>4</v>
      </c>
      <c r="D892" s="22" t="s">
        <v>63</v>
      </c>
      <c r="E892" s="22" t="s">
        <v>64</v>
      </c>
      <c r="F892" s="22" t="s">
        <v>65</v>
      </c>
    </row>
    <row r="893" spans="1:6" ht="15.75">
      <c r="A893" s="150"/>
      <c r="B893" s="734" t="s">
        <v>390</v>
      </c>
      <c r="C893" s="735"/>
      <c r="D893" s="735"/>
      <c r="E893" s="735"/>
      <c r="F893" s="736"/>
    </row>
    <row r="894" spans="1:6" ht="15.75">
      <c r="A894" s="151"/>
      <c r="B894" s="629" t="s">
        <v>66</v>
      </c>
      <c r="C894" s="629"/>
      <c r="D894" s="629"/>
      <c r="E894" s="629"/>
      <c r="F894" s="629"/>
    </row>
    <row r="895" spans="1:6" ht="15.75">
      <c r="A895" s="116" t="s">
        <v>67</v>
      </c>
      <c r="B895" s="152" t="s">
        <v>68</v>
      </c>
      <c r="C895" s="153" t="s">
        <v>69</v>
      </c>
      <c r="D895" s="154">
        <v>0.4</v>
      </c>
      <c r="E895" s="120">
        <v>10.7</v>
      </c>
      <c r="F895" s="120">
        <f>E895*D895</f>
        <v>4.28</v>
      </c>
    </row>
    <row r="896" spans="1:6" ht="15.75">
      <c r="A896" s="116" t="s">
        <v>70</v>
      </c>
      <c r="B896" s="152" t="s">
        <v>71</v>
      </c>
      <c r="C896" s="153" t="s">
        <v>69</v>
      </c>
      <c r="D896" s="154">
        <v>0.4</v>
      </c>
      <c r="E896" s="120">
        <v>8.4700000000000006</v>
      </c>
      <c r="F896" s="120">
        <f>E896*D896</f>
        <v>3.39</v>
      </c>
    </row>
    <row r="897" spans="1:6" ht="15.75">
      <c r="A897" s="737" t="s">
        <v>72</v>
      </c>
      <c r="B897" s="738"/>
      <c r="C897" s="738"/>
      <c r="D897" s="738"/>
      <c r="E897" s="725"/>
      <c r="F897" s="155">
        <f>SUM(F895:F896)</f>
        <v>7.67</v>
      </c>
    </row>
    <row r="898" spans="1:6" ht="15.75">
      <c r="A898" s="737" t="s">
        <v>73</v>
      </c>
      <c r="B898" s="738"/>
      <c r="C898" s="738"/>
      <c r="D898" s="738"/>
      <c r="E898" s="725"/>
      <c r="F898" s="155">
        <f>SUM(F897:F897)</f>
        <v>7.67</v>
      </c>
    </row>
    <row r="899" spans="1:6" ht="15.75">
      <c r="A899" s="232"/>
      <c r="B899" s="739" t="s">
        <v>74</v>
      </c>
      <c r="C899" s="740"/>
      <c r="D899" s="740"/>
      <c r="E899" s="740"/>
      <c r="F899" s="741"/>
    </row>
    <row r="900" spans="1:6" ht="47.25">
      <c r="A900" s="166" t="s">
        <v>391</v>
      </c>
      <c r="B900" s="152" t="s">
        <v>392</v>
      </c>
      <c r="C900" s="153" t="s">
        <v>17</v>
      </c>
      <c r="D900" s="154">
        <v>1</v>
      </c>
      <c r="E900" s="120">
        <v>111</v>
      </c>
      <c r="F900" s="120">
        <f>E900*D900</f>
        <v>111</v>
      </c>
    </row>
    <row r="901" spans="1:6" ht="15.75">
      <c r="A901" s="122" t="s">
        <v>104</v>
      </c>
      <c r="B901" s="117" t="s">
        <v>105</v>
      </c>
      <c r="C901" s="118" t="s">
        <v>14</v>
      </c>
      <c r="D901" s="119">
        <v>8.6400000000000005E-2</v>
      </c>
      <c r="E901" s="121">
        <v>46.3</v>
      </c>
      <c r="F901" s="121">
        <f>E901*D901</f>
        <v>4</v>
      </c>
    </row>
    <row r="902" spans="1:6" ht="31.5">
      <c r="A902" s="122" t="s">
        <v>106</v>
      </c>
      <c r="B902" s="117" t="s">
        <v>107</v>
      </c>
      <c r="C902" s="118" t="s">
        <v>18</v>
      </c>
      <c r="D902" s="119">
        <v>1</v>
      </c>
      <c r="E902" s="121">
        <v>0.83</v>
      </c>
      <c r="F902" s="121">
        <f>E902*D902</f>
        <v>0.83</v>
      </c>
    </row>
    <row r="903" spans="1:6" ht="15.75">
      <c r="A903" s="737" t="s">
        <v>82</v>
      </c>
      <c r="B903" s="738"/>
      <c r="C903" s="738"/>
      <c r="D903" s="738"/>
      <c r="E903" s="725"/>
      <c r="F903" s="155">
        <f>SUM(F900:F902)</f>
        <v>115.83</v>
      </c>
    </row>
    <row r="904" spans="1:6" ht="15.75">
      <c r="A904" s="692" t="s">
        <v>83</v>
      </c>
      <c r="B904" s="693"/>
      <c r="C904" s="693"/>
      <c r="D904" s="693"/>
      <c r="E904" s="694"/>
      <c r="F904" s="155">
        <f>SUM(F898+F903)</f>
        <v>123.5</v>
      </c>
    </row>
    <row r="905" spans="1:6" ht="16.5" thickBot="1">
      <c r="A905" s="692" t="s">
        <v>84</v>
      </c>
      <c r="B905" s="693"/>
      <c r="C905" s="693"/>
      <c r="D905" s="693"/>
      <c r="E905" s="694"/>
      <c r="F905" s="155">
        <f>F904</f>
        <v>123.5</v>
      </c>
    </row>
    <row r="906" spans="1:6" ht="15.75">
      <c r="A906" s="68" t="s">
        <v>2</v>
      </c>
      <c r="B906" s="69" t="s">
        <v>62</v>
      </c>
      <c r="C906" s="69" t="s">
        <v>4</v>
      </c>
      <c r="D906" s="69" t="s">
        <v>63</v>
      </c>
      <c r="E906" s="69" t="s">
        <v>64</v>
      </c>
      <c r="F906" s="69" t="s">
        <v>65</v>
      </c>
    </row>
    <row r="907" spans="1:6" ht="15.75">
      <c r="A907" s="193"/>
      <c r="B907" s="618" t="s">
        <v>406</v>
      </c>
      <c r="C907" s="618"/>
      <c r="D907" s="618"/>
      <c r="E907" s="618"/>
      <c r="F907" s="619"/>
    </row>
    <row r="908" spans="1:6" ht="15.75">
      <c r="A908" s="194"/>
      <c r="B908" s="618" t="s">
        <v>66</v>
      </c>
      <c r="C908" s="618"/>
      <c r="D908" s="618"/>
      <c r="E908" s="618"/>
      <c r="F908" s="619"/>
    </row>
    <row r="909" spans="1:6" ht="15.75">
      <c r="A909" s="190" t="s">
        <v>407</v>
      </c>
      <c r="B909" s="195" t="s">
        <v>124</v>
      </c>
      <c r="C909" s="196" t="s">
        <v>69</v>
      </c>
      <c r="D909" s="197">
        <v>0.25</v>
      </c>
      <c r="E909" s="121">
        <v>8.3800000000000008</v>
      </c>
      <c r="F909" s="198">
        <f>D909*E909</f>
        <v>2.1</v>
      </c>
    </row>
    <row r="910" spans="1:6" ht="15.75">
      <c r="A910" s="620" t="s">
        <v>72</v>
      </c>
      <c r="B910" s="614"/>
      <c r="C910" s="614"/>
      <c r="D910" s="614"/>
      <c r="E910" s="614"/>
      <c r="F910" s="199">
        <f>SUM(F909:F909)</f>
        <v>2.1</v>
      </c>
    </row>
    <row r="911" spans="1:6" ht="15.75">
      <c r="A911" s="620" t="s">
        <v>73</v>
      </c>
      <c r="B911" s="614"/>
      <c r="C911" s="614"/>
      <c r="D911" s="614"/>
      <c r="E911" s="614"/>
      <c r="F911" s="199">
        <f>SUM(F910:F910)</f>
        <v>2.1</v>
      </c>
    </row>
    <row r="912" spans="1:6" ht="15.75">
      <c r="A912" s="193"/>
      <c r="B912" s="618" t="s">
        <v>74</v>
      </c>
      <c r="C912" s="618"/>
      <c r="D912" s="618"/>
      <c r="E912" s="618"/>
      <c r="F912" s="619"/>
    </row>
    <row r="913" spans="1:6" ht="31.5">
      <c r="A913" s="190" t="s">
        <v>408</v>
      </c>
      <c r="B913" s="240" t="s">
        <v>36</v>
      </c>
      <c r="C913" s="196" t="s">
        <v>18</v>
      </c>
      <c r="D913" s="197">
        <v>1</v>
      </c>
      <c r="E913" s="201">
        <v>550</v>
      </c>
      <c r="F913" s="198">
        <f>D913*E913</f>
        <v>550</v>
      </c>
    </row>
    <row r="914" spans="1:6" ht="15.75">
      <c r="A914" s="609" t="s">
        <v>82</v>
      </c>
      <c r="B914" s="610"/>
      <c r="C914" s="610"/>
      <c r="D914" s="610"/>
      <c r="E914" s="610"/>
      <c r="F914" s="199">
        <f>SUM(F913:F913)</f>
        <v>550</v>
      </c>
    </row>
    <row r="915" spans="1:6" ht="15.75">
      <c r="A915" s="609" t="s">
        <v>83</v>
      </c>
      <c r="B915" s="610"/>
      <c r="C915" s="610"/>
      <c r="D915" s="610"/>
      <c r="E915" s="610"/>
      <c r="F915" s="199">
        <f>SUM(F911+F914)</f>
        <v>552.1</v>
      </c>
    </row>
    <row r="916" spans="1:6" ht="15.75">
      <c r="A916" s="609" t="s">
        <v>84</v>
      </c>
      <c r="B916" s="610"/>
      <c r="C916" s="610"/>
      <c r="D916" s="610"/>
      <c r="E916" s="610"/>
      <c r="F916" s="199">
        <f>F915</f>
        <v>552.1</v>
      </c>
    </row>
  </sheetData>
  <mergeCells count="507">
    <mergeCell ref="A897:E897"/>
    <mergeCell ref="A898:E898"/>
    <mergeCell ref="B899:F899"/>
    <mergeCell ref="A903:E903"/>
    <mergeCell ref="A904:E904"/>
    <mergeCell ref="A905:E905"/>
    <mergeCell ref="A318:E318"/>
    <mergeCell ref="A319:E319"/>
    <mergeCell ref="A320:E320"/>
    <mergeCell ref="B893:F893"/>
    <mergeCell ref="B894:F894"/>
    <mergeCell ref="A890:E890"/>
    <mergeCell ref="A891:E891"/>
    <mergeCell ref="B885:F885"/>
    <mergeCell ref="A889:E889"/>
    <mergeCell ref="A876:E876"/>
    <mergeCell ref="A883:E883"/>
    <mergeCell ref="A884:E884"/>
    <mergeCell ref="B851:F851"/>
    <mergeCell ref="B852:F852"/>
    <mergeCell ref="A855:E855"/>
    <mergeCell ref="B811:F811"/>
    <mergeCell ref="A817:E817"/>
    <mergeCell ref="A818:E818"/>
    <mergeCell ref="A847:E847"/>
    <mergeCell ref="A848:E848"/>
    <mergeCell ref="A849:E849"/>
    <mergeCell ref="A264:E264"/>
    <mergeCell ref="B266:F266"/>
    <mergeCell ref="B267:F267"/>
    <mergeCell ref="A270:E270"/>
    <mergeCell ref="A271:E271"/>
    <mergeCell ref="B272:F272"/>
    <mergeCell ref="A285:E285"/>
    <mergeCell ref="B286:F286"/>
    <mergeCell ref="A290:E290"/>
    <mergeCell ref="A291:E291"/>
    <mergeCell ref="A292:E292"/>
    <mergeCell ref="B294:F294"/>
    <mergeCell ref="A276:E276"/>
    <mergeCell ref="A277:E277"/>
    <mergeCell ref="A278:E278"/>
    <mergeCell ref="B280:F280"/>
    <mergeCell ref="B281:F281"/>
    <mergeCell ref="A284:E284"/>
    <mergeCell ref="A306:E306"/>
    <mergeCell ref="B308:F308"/>
    <mergeCell ref="B309:F309"/>
    <mergeCell ref="B879:F879"/>
    <mergeCell ref="B880:F880"/>
    <mergeCell ref="A869:E869"/>
    <mergeCell ref="A870:E870"/>
    <mergeCell ref="B871:F871"/>
    <mergeCell ref="A875:E875"/>
    <mergeCell ref="A856:E856"/>
    <mergeCell ref="A877:E877"/>
    <mergeCell ref="B857:F857"/>
    <mergeCell ref="A861:E861"/>
    <mergeCell ref="A862:E862"/>
    <mergeCell ref="A863:E863"/>
    <mergeCell ref="B865:F865"/>
    <mergeCell ref="B866:F866"/>
    <mergeCell ref="A834:E834"/>
    <mergeCell ref="A835:E835"/>
    <mergeCell ref="A243:E243"/>
    <mergeCell ref="B224:F224"/>
    <mergeCell ref="B225:F225"/>
    <mergeCell ref="A228:E228"/>
    <mergeCell ref="A229:E229"/>
    <mergeCell ref="B230:F230"/>
    <mergeCell ref="A234:E234"/>
    <mergeCell ref="B253:F253"/>
    <mergeCell ref="A256:E256"/>
    <mergeCell ref="A257:E257"/>
    <mergeCell ref="B258:F258"/>
    <mergeCell ref="A262:E262"/>
    <mergeCell ref="A263:E263"/>
    <mergeCell ref="A312:E312"/>
    <mergeCell ref="A313:E313"/>
    <mergeCell ref="B314:F314"/>
    <mergeCell ref="B295:F295"/>
    <mergeCell ref="A298:E298"/>
    <mergeCell ref="A299:E299"/>
    <mergeCell ref="B300:F300"/>
    <mergeCell ref="A304:E304"/>
    <mergeCell ref="A305:E305"/>
    <mergeCell ref="A148:E148"/>
    <mergeCell ref="A149:E149"/>
    <mergeCell ref="A169:E169"/>
    <mergeCell ref="B837:F837"/>
    <mergeCell ref="B838:F838"/>
    <mergeCell ref="A841:E841"/>
    <mergeCell ref="A842:E842"/>
    <mergeCell ref="B843:F843"/>
    <mergeCell ref="A248:E248"/>
    <mergeCell ref="B252:F252"/>
    <mergeCell ref="A235:E235"/>
    <mergeCell ref="A236:E236"/>
    <mergeCell ref="B201:F201"/>
    <mergeCell ref="A206:E206"/>
    <mergeCell ref="A207:E207"/>
    <mergeCell ref="A208:E208"/>
    <mergeCell ref="B195:F195"/>
    <mergeCell ref="B196:F196"/>
    <mergeCell ref="A199:E199"/>
    <mergeCell ref="A200:E200"/>
    <mergeCell ref="A825:E825"/>
    <mergeCell ref="A826:E826"/>
    <mergeCell ref="B827:F827"/>
    <mergeCell ref="A833:E833"/>
    <mergeCell ref="A819:E819"/>
    <mergeCell ref="B821:F821"/>
    <mergeCell ref="B822:F822"/>
    <mergeCell ref="A802:E802"/>
    <mergeCell ref="A803:E803"/>
    <mergeCell ref="B805:F805"/>
    <mergeCell ref="B806:F806"/>
    <mergeCell ref="A809:E809"/>
    <mergeCell ref="A810:E810"/>
    <mergeCell ref="B791:F791"/>
    <mergeCell ref="A801:E801"/>
    <mergeCell ref="A782:E782"/>
    <mergeCell ref="A783:E783"/>
    <mergeCell ref="B770:F770"/>
    <mergeCell ref="B771:F771"/>
    <mergeCell ref="A774:E774"/>
    <mergeCell ref="A775:E775"/>
    <mergeCell ref="B776:F776"/>
    <mergeCell ref="A781:E781"/>
    <mergeCell ref="A707:F707"/>
    <mergeCell ref="B748:F748"/>
    <mergeCell ref="B749:F749"/>
    <mergeCell ref="A752:E752"/>
    <mergeCell ref="A753:E753"/>
    <mergeCell ref="B754:F754"/>
    <mergeCell ref="A734:F734"/>
    <mergeCell ref="B736:F736"/>
    <mergeCell ref="B737:F737"/>
    <mergeCell ref="A739:E739"/>
    <mergeCell ref="A717:E717"/>
    <mergeCell ref="A718:E718"/>
    <mergeCell ref="B709:F709"/>
    <mergeCell ref="B710:F710"/>
    <mergeCell ref="A712:E712"/>
    <mergeCell ref="A713:E713"/>
    <mergeCell ref="B714:F714"/>
    <mergeCell ref="A716:E716"/>
    <mergeCell ref="A732:E732"/>
    <mergeCell ref="A733:E733"/>
    <mergeCell ref="A719:F719"/>
    <mergeCell ref="A731:E731"/>
    <mergeCell ref="A726:E726"/>
    <mergeCell ref="B727:F727"/>
    <mergeCell ref="B722:F722"/>
    <mergeCell ref="A434:E434"/>
    <mergeCell ref="A435:E435"/>
    <mergeCell ref="B549:F549"/>
    <mergeCell ref="A519:E519"/>
    <mergeCell ref="B520:F520"/>
    <mergeCell ref="B438:F438"/>
    <mergeCell ref="B458:F458"/>
    <mergeCell ref="B509:F509"/>
    <mergeCell ref="A518:E518"/>
    <mergeCell ref="B508:F508"/>
    <mergeCell ref="B444:F444"/>
    <mergeCell ref="A448:E448"/>
    <mergeCell ref="A449:E449"/>
    <mergeCell ref="A490:E490"/>
    <mergeCell ref="A456:E456"/>
    <mergeCell ref="A457:E457"/>
    <mergeCell ref="A463:E463"/>
    <mergeCell ref="A464:E464"/>
    <mergeCell ref="A436:F436"/>
    <mergeCell ref="A450:E450"/>
    <mergeCell ref="B452:F452"/>
    <mergeCell ref="A544:E544"/>
    <mergeCell ref="A545:E545"/>
    <mergeCell ref="A184:E184"/>
    <mergeCell ref="B171:F171"/>
    <mergeCell ref="A176:E176"/>
    <mergeCell ref="A177:E177"/>
    <mergeCell ref="A178:E178"/>
    <mergeCell ref="B180:F180"/>
    <mergeCell ref="B181:F181"/>
    <mergeCell ref="A419:E419"/>
    <mergeCell ref="B421:F421"/>
    <mergeCell ref="A377:E377"/>
    <mergeCell ref="B407:F407"/>
    <mergeCell ref="B408:F408"/>
    <mergeCell ref="A411:E411"/>
    <mergeCell ref="A412:E412"/>
    <mergeCell ref="B413:F413"/>
    <mergeCell ref="B399:F399"/>
    <mergeCell ref="A403:E403"/>
    <mergeCell ref="A404:E404"/>
    <mergeCell ref="A405:E405"/>
    <mergeCell ref="A417:E417"/>
    <mergeCell ref="A418:E418"/>
    <mergeCell ref="A222:E222"/>
    <mergeCell ref="B244:F244"/>
    <mergeCell ref="B238:F238"/>
    <mergeCell ref="B166:F166"/>
    <mergeCell ref="A91:E91"/>
    <mergeCell ref="A92:E92"/>
    <mergeCell ref="B93:F93"/>
    <mergeCell ref="A95:E95"/>
    <mergeCell ref="A170:E170"/>
    <mergeCell ref="A96:E96"/>
    <mergeCell ref="A97:E97"/>
    <mergeCell ref="A123:E123"/>
    <mergeCell ref="B125:F125"/>
    <mergeCell ref="A161:E161"/>
    <mergeCell ref="A162:E162"/>
    <mergeCell ref="A150:E150"/>
    <mergeCell ref="B152:F152"/>
    <mergeCell ref="B153:F153"/>
    <mergeCell ref="A156:E156"/>
    <mergeCell ref="A157:E157"/>
    <mergeCell ref="B158:F158"/>
    <mergeCell ref="A135:E135"/>
    <mergeCell ref="A136:E136"/>
    <mergeCell ref="B138:F138"/>
    <mergeCell ref="A142:E142"/>
    <mergeCell ref="A143:E143"/>
    <mergeCell ref="B144:F144"/>
    <mergeCell ref="A18:E18"/>
    <mergeCell ref="B165:F165"/>
    <mergeCell ref="A24:E24"/>
    <mergeCell ref="B61:F61"/>
    <mergeCell ref="B87:F87"/>
    <mergeCell ref="B126:F126"/>
    <mergeCell ref="A129:E129"/>
    <mergeCell ref="A130:E130"/>
    <mergeCell ref="B131:F131"/>
    <mergeCell ref="A71:E71"/>
    <mergeCell ref="A72:E72"/>
    <mergeCell ref="A73:E73"/>
    <mergeCell ref="A163:F163"/>
    <mergeCell ref="B62:F62"/>
    <mergeCell ref="A65:E65"/>
    <mergeCell ref="A66:E66"/>
    <mergeCell ref="B67:F67"/>
    <mergeCell ref="A51:E51"/>
    <mergeCell ref="A52:E52"/>
    <mergeCell ref="B53:F53"/>
    <mergeCell ref="A57:E57"/>
    <mergeCell ref="A58:E58"/>
    <mergeCell ref="A59:E59"/>
    <mergeCell ref="B139:F139"/>
    <mergeCell ref="A1:F1"/>
    <mergeCell ref="B47:F47"/>
    <mergeCell ref="B48:F48"/>
    <mergeCell ref="B3:F3"/>
    <mergeCell ref="B4:F4"/>
    <mergeCell ref="A7:E7"/>
    <mergeCell ref="A8:E8"/>
    <mergeCell ref="B9:F9"/>
    <mergeCell ref="A16:E16"/>
    <mergeCell ref="B20:F20"/>
    <mergeCell ref="B35:F35"/>
    <mergeCell ref="B36:F36"/>
    <mergeCell ref="A39:E39"/>
    <mergeCell ref="A40:E40"/>
    <mergeCell ref="B41:F41"/>
    <mergeCell ref="A43:E43"/>
    <mergeCell ref="A33:E33"/>
    <mergeCell ref="B21:F21"/>
    <mergeCell ref="A25:E25"/>
    <mergeCell ref="B26:F26"/>
    <mergeCell ref="A30:E30"/>
    <mergeCell ref="A31:E31"/>
    <mergeCell ref="A32:E32"/>
    <mergeCell ref="A17:E17"/>
    <mergeCell ref="A442:E442"/>
    <mergeCell ref="A443:E443"/>
    <mergeCell ref="A391:E391"/>
    <mergeCell ref="B379:F379"/>
    <mergeCell ref="B380:F380"/>
    <mergeCell ref="B366:F366"/>
    <mergeCell ref="B322:F322"/>
    <mergeCell ref="B323:F323"/>
    <mergeCell ref="A326:E326"/>
    <mergeCell ref="A327:E327"/>
    <mergeCell ref="B328:F328"/>
    <mergeCell ref="A369:E369"/>
    <mergeCell ref="A370:E370"/>
    <mergeCell ref="B371:F371"/>
    <mergeCell ref="A375:E375"/>
    <mergeCell ref="A376:E376"/>
    <mergeCell ref="A390:E390"/>
    <mergeCell ref="A341:E341"/>
    <mergeCell ref="A334:E334"/>
    <mergeCell ref="B365:F365"/>
    <mergeCell ref="B385:F385"/>
    <mergeCell ref="A389:E389"/>
    <mergeCell ref="A355:E355"/>
    <mergeCell ref="A356:E356"/>
    <mergeCell ref="B239:F239"/>
    <mergeCell ref="A242:E242"/>
    <mergeCell ref="A221:E221"/>
    <mergeCell ref="A249:E249"/>
    <mergeCell ref="A250:E250"/>
    <mergeCell ref="B352:F352"/>
    <mergeCell ref="B439:F439"/>
    <mergeCell ref="A363:E363"/>
    <mergeCell ref="A383:E383"/>
    <mergeCell ref="A384:E384"/>
    <mergeCell ref="B422:F422"/>
    <mergeCell ref="A425:E425"/>
    <mergeCell ref="A426:E426"/>
    <mergeCell ref="B427:F427"/>
    <mergeCell ref="A433:E433"/>
    <mergeCell ref="A332:E332"/>
    <mergeCell ref="A333:E333"/>
    <mergeCell ref="B336:F336"/>
    <mergeCell ref="B337:F337"/>
    <mergeCell ref="A340:E340"/>
    <mergeCell ref="B342:F342"/>
    <mergeCell ref="A347:E347"/>
    <mergeCell ref="A348:E348"/>
    <mergeCell ref="A349:E349"/>
    <mergeCell ref="A185:E185"/>
    <mergeCell ref="B186:F186"/>
    <mergeCell ref="A191:E191"/>
    <mergeCell ref="A192:E192"/>
    <mergeCell ref="A193:E193"/>
    <mergeCell ref="A220:E220"/>
    <mergeCell ref="A214:E214"/>
    <mergeCell ref="A215:E215"/>
    <mergeCell ref="B216:F216"/>
    <mergeCell ref="B211:F211"/>
    <mergeCell ref="B210:F210"/>
    <mergeCell ref="B357:F357"/>
    <mergeCell ref="A361:E361"/>
    <mergeCell ref="A362:E362"/>
    <mergeCell ref="A546:E546"/>
    <mergeCell ref="A562:F562"/>
    <mergeCell ref="B550:F550"/>
    <mergeCell ref="A553:E553"/>
    <mergeCell ref="A554:E554"/>
    <mergeCell ref="B555:F555"/>
    <mergeCell ref="A547:F547"/>
    <mergeCell ref="A559:E559"/>
    <mergeCell ref="A561:E561"/>
    <mergeCell ref="B453:F453"/>
    <mergeCell ref="A462:E462"/>
    <mergeCell ref="A541:E541"/>
    <mergeCell ref="B542:F542"/>
    <mergeCell ref="B480:F480"/>
    <mergeCell ref="B481:F481"/>
    <mergeCell ref="A484:E484"/>
    <mergeCell ref="A485:E485"/>
    <mergeCell ref="A498:E498"/>
    <mergeCell ref="A499:E499"/>
    <mergeCell ref="B466:F466"/>
    <mergeCell ref="B486:F486"/>
    <mergeCell ref="B577:F577"/>
    <mergeCell ref="B578:F578"/>
    <mergeCell ref="A581:E581"/>
    <mergeCell ref="A582:E582"/>
    <mergeCell ref="B583:F583"/>
    <mergeCell ref="A568:E568"/>
    <mergeCell ref="A569:E569"/>
    <mergeCell ref="B570:F570"/>
    <mergeCell ref="A560:E560"/>
    <mergeCell ref="B564:F564"/>
    <mergeCell ref="B565:F565"/>
    <mergeCell ref="A573:E573"/>
    <mergeCell ref="A574:E574"/>
    <mergeCell ref="A587:E587"/>
    <mergeCell ref="A588:E588"/>
    <mergeCell ref="A589:E589"/>
    <mergeCell ref="A590:F590"/>
    <mergeCell ref="B592:F592"/>
    <mergeCell ref="B593:F593"/>
    <mergeCell ref="A596:E596"/>
    <mergeCell ref="A597:E597"/>
    <mergeCell ref="B598:F598"/>
    <mergeCell ref="A604:E604"/>
    <mergeCell ref="A605:E605"/>
    <mergeCell ref="A606:E606"/>
    <mergeCell ref="A607:F607"/>
    <mergeCell ref="B609:F609"/>
    <mergeCell ref="B610:F610"/>
    <mergeCell ref="A613:E613"/>
    <mergeCell ref="A614:E614"/>
    <mergeCell ref="B615:F615"/>
    <mergeCell ref="A625:E625"/>
    <mergeCell ref="B629:F629"/>
    <mergeCell ref="B630:F630"/>
    <mergeCell ref="A633:E633"/>
    <mergeCell ref="A634:E634"/>
    <mergeCell ref="A626:E626"/>
    <mergeCell ref="A627:E627"/>
    <mergeCell ref="B635:F635"/>
    <mergeCell ref="A640:E640"/>
    <mergeCell ref="A641:E641"/>
    <mergeCell ref="A642:E642"/>
    <mergeCell ref="B644:F644"/>
    <mergeCell ref="B645:F645"/>
    <mergeCell ref="A648:E648"/>
    <mergeCell ref="A649:E649"/>
    <mergeCell ref="B650:F650"/>
    <mergeCell ref="A655:E655"/>
    <mergeCell ref="A656:E656"/>
    <mergeCell ref="B660:F660"/>
    <mergeCell ref="B661:F661"/>
    <mergeCell ref="A664:E664"/>
    <mergeCell ref="A665:E665"/>
    <mergeCell ref="B666:F666"/>
    <mergeCell ref="A705:E705"/>
    <mergeCell ref="A679:E679"/>
    <mergeCell ref="B680:F680"/>
    <mergeCell ref="A684:E684"/>
    <mergeCell ref="A685:E685"/>
    <mergeCell ref="A686:E686"/>
    <mergeCell ref="B688:F688"/>
    <mergeCell ref="A692:E692"/>
    <mergeCell ref="B694:F694"/>
    <mergeCell ref="A704:E704"/>
    <mergeCell ref="A670:E670"/>
    <mergeCell ref="A671:E671"/>
    <mergeCell ref="A672:E672"/>
    <mergeCell ref="B674:F674"/>
    <mergeCell ref="B675:F675"/>
    <mergeCell ref="A678:E678"/>
    <mergeCell ref="B75:F75"/>
    <mergeCell ref="B76:F76"/>
    <mergeCell ref="A79:E79"/>
    <mergeCell ref="A80:E80"/>
    <mergeCell ref="B81:F81"/>
    <mergeCell ref="A83:E83"/>
    <mergeCell ref="A84:E84"/>
    <mergeCell ref="A85:E85"/>
    <mergeCell ref="B88:F88"/>
    <mergeCell ref="A103:E103"/>
    <mergeCell ref="A104:E104"/>
    <mergeCell ref="B105:F105"/>
    <mergeCell ref="A107:E107"/>
    <mergeCell ref="A768:E768"/>
    <mergeCell ref="A108:E108"/>
    <mergeCell ref="A109:E109"/>
    <mergeCell ref="A398:E398"/>
    <mergeCell ref="A397:E397"/>
    <mergeCell ref="B394:F394"/>
    <mergeCell ref="B393:F393"/>
    <mergeCell ref="A575:E575"/>
    <mergeCell ref="B689:F689"/>
    <mergeCell ref="A725:E725"/>
    <mergeCell ref="B763:F763"/>
    <mergeCell ref="B500:F500"/>
    <mergeCell ref="A504:E504"/>
    <mergeCell ref="A505:E505"/>
    <mergeCell ref="A506:E506"/>
    <mergeCell ref="B111:F111"/>
    <mergeCell ref="A160:E160"/>
    <mergeCell ref="B351:F351"/>
    <mergeCell ref="A657:E657"/>
    <mergeCell ref="A658:F658"/>
    <mergeCell ref="B112:F112"/>
    <mergeCell ref="A115:E115"/>
    <mergeCell ref="A116:E116"/>
    <mergeCell ref="A476:E476"/>
    <mergeCell ref="A491:E491"/>
    <mergeCell ref="A706:E706"/>
    <mergeCell ref="A693:E693"/>
    <mergeCell ref="A44:E44"/>
    <mergeCell ref="A45:E45"/>
    <mergeCell ref="B467:F467"/>
    <mergeCell ref="A470:E470"/>
    <mergeCell ref="A471:E471"/>
    <mergeCell ref="B472:F472"/>
    <mergeCell ref="B117:F117"/>
    <mergeCell ref="A122:E122"/>
    <mergeCell ref="A121:E121"/>
    <mergeCell ref="A134:E134"/>
    <mergeCell ref="A477:E477"/>
    <mergeCell ref="A478:E478"/>
    <mergeCell ref="B494:F494"/>
    <mergeCell ref="B495:F495"/>
    <mergeCell ref="A492:E492"/>
    <mergeCell ref="B99:F99"/>
    <mergeCell ref="B100:F100"/>
    <mergeCell ref="A915:E915"/>
    <mergeCell ref="B764:F764"/>
    <mergeCell ref="A766:E766"/>
    <mergeCell ref="A767:E767"/>
    <mergeCell ref="B721:F721"/>
    <mergeCell ref="A916:E916"/>
    <mergeCell ref="B907:F907"/>
    <mergeCell ref="B908:F908"/>
    <mergeCell ref="A910:E910"/>
    <mergeCell ref="A911:E911"/>
    <mergeCell ref="B912:F912"/>
    <mergeCell ref="A914:E914"/>
    <mergeCell ref="A759:E759"/>
    <mergeCell ref="A760:E760"/>
    <mergeCell ref="A761:E761"/>
    <mergeCell ref="A740:E740"/>
    <mergeCell ref="B742:F742"/>
    <mergeCell ref="B743:F743"/>
    <mergeCell ref="A745:E745"/>
    <mergeCell ref="A746:E746"/>
    <mergeCell ref="B785:F785"/>
    <mergeCell ref="B786:F786"/>
    <mergeCell ref="A789:E789"/>
    <mergeCell ref="A790:E790"/>
  </mergeCells>
  <pageMargins left="0.511811024" right="0.511811024" top="0.78740157499999996" bottom="0.78740157499999996" header="0.31496062000000002" footer="0.31496062000000002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AC137"/>
  <sheetViews>
    <sheetView view="pageBreakPreview" topLeftCell="A63" zoomScale="90" zoomScaleNormal="80" zoomScaleSheetLayoutView="90" workbookViewId="0">
      <selection activeCell="A7" sqref="A7:AB7"/>
    </sheetView>
  </sheetViews>
  <sheetFormatPr defaultRowHeight="15.75"/>
  <cols>
    <col min="1" max="1" width="6.42578125" style="295" customWidth="1"/>
    <col min="2" max="2" width="24.85546875" style="295" customWidth="1"/>
    <col min="3" max="3" width="14.28515625" style="295" customWidth="1"/>
    <col min="4" max="27" width="3.7109375" style="295" customWidth="1"/>
    <col min="28" max="28" width="9.28515625" style="295" customWidth="1"/>
    <col min="29" max="29" width="11" style="295" bestFit="1" customWidth="1"/>
    <col min="30" max="16384" width="9.140625" style="295"/>
  </cols>
  <sheetData>
    <row r="2" spans="1:28">
      <c r="A2" s="294"/>
      <c r="B2" s="294"/>
      <c r="C2" s="294"/>
      <c r="D2" s="294"/>
      <c r="E2" s="294"/>
      <c r="F2" s="294"/>
      <c r="G2" s="294"/>
    </row>
    <row r="3" spans="1:28">
      <c r="A3" s="294"/>
      <c r="B3" s="294"/>
      <c r="C3" s="294"/>
      <c r="D3" s="294"/>
      <c r="E3" s="294"/>
      <c r="F3" s="294"/>
      <c r="G3" s="294"/>
    </row>
    <row r="4" spans="1:28" ht="15.75" customHeight="1">
      <c r="A4" s="294"/>
      <c r="B4" s="294"/>
      <c r="C4" s="294"/>
      <c r="D4" s="294"/>
      <c r="E4" s="294"/>
      <c r="F4" s="294"/>
      <c r="G4" s="294"/>
    </row>
    <row r="5" spans="1:28" ht="15.75" customHeight="1">
      <c r="A5" s="294"/>
      <c r="B5" s="294"/>
      <c r="C5" s="294"/>
      <c r="D5" s="294"/>
      <c r="E5" s="294"/>
      <c r="F5" s="294"/>
      <c r="G5" s="294"/>
    </row>
    <row r="6" spans="1:28">
      <c r="A6" s="294"/>
      <c r="B6" s="294"/>
      <c r="C6" s="294"/>
      <c r="D6" s="294"/>
      <c r="E6" s="294"/>
      <c r="F6" s="294"/>
      <c r="G6" s="294"/>
    </row>
    <row r="7" spans="1:28">
      <c r="A7" s="577" t="s">
        <v>0</v>
      </c>
      <c r="B7" s="577"/>
      <c r="C7" s="577"/>
      <c r="D7" s="577"/>
      <c r="E7" s="577"/>
      <c r="F7" s="577"/>
      <c r="G7" s="577"/>
      <c r="H7" s="577"/>
      <c r="I7" s="577"/>
      <c r="J7" s="577"/>
      <c r="K7" s="577"/>
      <c r="L7" s="577"/>
      <c r="M7" s="577"/>
      <c r="N7" s="577"/>
      <c r="O7" s="577"/>
      <c r="P7" s="577"/>
      <c r="Q7" s="577"/>
      <c r="R7" s="577"/>
      <c r="S7" s="577"/>
      <c r="T7" s="577"/>
      <c r="U7" s="577"/>
      <c r="V7" s="577"/>
      <c r="W7" s="577"/>
      <c r="X7" s="577"/>
      <c r="Y7" s="577"/>
      <c r="Z7" s="577"/>
      <c r="AA7" s="577"/>
      <c r="AB7" s="577"/>
    </row>
    <row r="8" spans="1:28">
      <c r="A8" s="578" t="s">
        <v>1</v>
      </c>
      <c r="B8" s="578"/>
      <c r="C8" s="578"/>
      <c r="D8" s="578"/>
      <c r="E8" s="578"/>
      <c r="F8" s="578"/>
      <c r="G8" s="578"/>
      <c r="H8" s="578"/>
      <c r="I8" s="578"/>
      <c r="J8" s="578"/>
      <c r="K8" s="578"/>
      <c r="L8" s="578"/>
      <c r="M8" s="578"/>
      <c r="N8" s="578"/>
      <c r="O8" s="578"/>
      <c r="P8" s="578"/>
      <c r="Q8" s="578"/>
      <c r="R8" s="578"/>
      <c r="S8" s="578"/>
      <c r="T8" s="578"/>
      <c r="U8" s="578"/>
      <c r="V8" s="578"/>
      <c r="W8" s="578"/>
      <c r="X8" s="578"/>
      <c r="Y8" s="578"/>
      <c r="Z8" s="578"/>
      <c r="AA8" s="578"/>
      <c r="AB8" s="578"/>
    </row>
    <row r="9" spans="1:28">
      <c r="A9" s="577" t="s">
        <v>437</v>
      </c>
      <c r="B9" s="577"/>
      <c r="C9" s="577"/>
      <c r="D9" s="577"/>
      <c r="E9" s="577"/>
      <c r="F9" s="577"/>
      <c r="G9" s="577"/>
      <c r="H9" s="577"/>
      <c r="I9" s="577"/>
      <c r="J9" s="577"/>
      <c r="K9" s="577"/>
      <c r="L9" s="577"/>
      <c r="M9" s="577"/>
      <c r="N9" s="577"/>
      <c r="O9" s="577"/>
      <c r="P9" s="577"/>
      <c r="Q9" s="577"/>
      <c r="R9" s="577"/>
      <c r="S9" s="577"/>
      <c r="T9" s="577"/>
      <c r="U9" s="577"/>
      <c r="V9" s="577"/>
      <c r="W9" s="577"/>
      <c r="X9" s="577"/>
      <c r="Y9" s="577"/>
      <c r="Z9" s="577"/>
      <c r="AA9" s="577"/>
      <c r="AB9" s="577"/>
    </row>
    <row r="10" spans="1:28" ht="8.25" customHeight="1"/>
    <row r="11" spans="1:28">
      <c r="A11" s="795" t="str">
        <f>'ORÇAMENTO - CASA DE FORÇA'!A12:H12</f>
        <v>CONSTRUÇÃO DE CASA DE FORÇA E FORNECIMENTO E INSTALAÇÃO DE BALIZAMENTO DO AEROPORTO REGIONAL DE TUCURUÍ</v>
      </c>
      <c r="B11" s="796"/>
      <c r="C11" s="796"/>
      <c r="D11" s="796"/>
      <c r="E11" s="796"/>
      <c r="F11" s="796"/>
      <c r="G11" s="796"/>
      <c r="H11" s="796"/>
      <c r="I11" s="796"/>
      <c r="J11" s="796"/>
      <c r="K11" s="796"/>
      <c r="L11" s="796"/>
      <c r="M11" s="796"/>
      <c r="N11" s="796"/>
      <c r="O11" s="796"/>
      <c r="P11" s="796"/>
      <c r="Q11" s="796"/>
      <c r="R11" s="796"/>
      <c r="S11" s="796"/>
      <c r="T11" s="796"/>
      <c r="U11" s="796"/>
      <c r="V11" s="796"/>
      <c r="W11" s="796"/>
      <c r="X11" s="796"/>
      <c r="Y11" s="796"/>
      <c r="Z11" s="796"/>
      <c r="AA11" s="796"/>
      <c r="AB11" s="796"/>
    </row>
    <row r="12" spans="1:28" ht="8.1" customHeight="1"/>
    <row r="13" spans="1:28" ht="21.95" customHeight="1">
      <c r="A13" s="797" t="s">
        <v>451</v>
      </c>
      <c r="B13" s="797"/>
      <c r="C13" s="797"/>
      <c r="D13" s="797"/>
      <c r="E13" s="797"/>
      <c r="F13" s="797"/>
      <c r="G13" s="797"/>
      <c r="H13" s="797"/>
      <c r="I13" s="797"/>
      <c r="J13" s="797"/>
      <c r="K13" s="797"/>
      <c r="L13" s="797"/>
      <c r="M13" s="797"/>
      <c r="N13" s="797"/>
      <c r="O13" s="797"/>
      <c r="P13" s="797"/>
      <c r="Q13" s="797"/>
      <c r="R13" s="797"/>
      <c r="S13" s="797"/>
      <c r="T13" s="797"/>
      <c r="U13" s="797"/>
      <c r="V13" s="797"/>
      <c r="W13" s="797"/>
      <c r="X13" s="797"/>
      <c r="Y13" s="797"/>
      <c r="Z13" s="797"/>
      <c r="AA13" s="797"/>
      <c r="AB13" s="797"/>
    </row>
    <row r="14" spans="1:28" ht="21.95" customHeight="1">
      <c r="A14" s="442"/>
      <c r="B14" s="442"/>
      <c r="C14" s="442"/>
      <c r="D14" s="442"/>
      <c r="E14" s="442"/>
      <c r="F14" s="442"/>
      <c r="G14" s="442"/>
      <c r="H14" s="442"/>
      <c r="I14" s="442"/>
      <c r="J14" s="442"/>
      <c r="K14" s="442"/>
      <c r="L14" s="442"/>
      <c r="M14" s="442"/>
      <c r="N14" s="442"/>
      <c r="O14" s="442"/>
      <c r="P14" s="442"/>
      <c r="Q14" s="442"/>
      <c r="R14" s="442"/>
      <c r="S14" s="442"/>
      <c r="T14" s="442"/>
      <c r="U14" s="442"/>
      <c r="V14" s="442"/>
      <c r="W14" s="442"/>
      <c r="X14" s="442"/>
      <c r="Y14" s="442"/>
      <c r="Z14" s="442"/>
      <c r="AA14" s="442"/>
      <c r="AB14" s="442"/>
    </row>
    <row r="15" spans="1:28" ht="8.1" customHeight="1">
      <c r="A15" s="296"/>
      <c r="B15" s="296"/>
      <c r="C15" s="296"/>
      <c r="D15" s="296"/>
      <c r="E15" s="296"/>
      <c r="F15" s="296"/>
      <c r="G15" s="296"/>
    </row>
    <row r="16" spans="1:28" ht="12.75" customHeight="1">
      <c r="A16" s="798" t="s">
        <v>452</v>
      </c>
      <c r="B16" s="800" t="s">
        <v>568</v>
      </c>
      <c r="C16" s="800"/>
      <c r="D16" s="774" t="s">
        <v>453</v>
      </c>
      <c r="E16" s="775"/>
      <c r="F16" s="775"/>
      <c r="G16" s="776"/>
      <c r="H16" s="774" t="s">
        <v>454</v>
      </c>
      <c r="I16" s="775"/>
      <c r="J16" s="775"/>
      <c r="K16" s="776"/>
      <c r="L16" s="774" t="s">
        <v>455</v>
      </c>
      <c r="M16" s="775"/>
      <c r="N16" s="775"/>
      <c r="O16" s="776"/>
      <c r="P16" s="774" t="s">
        <v>456</v>
      </c>
      <c r="Q16" s="775"/>
      <c r="R16" s="775"/>
      <c r="S16" s="776"/>
      <c r="T16" s="774" t="s">
        <v>457</v>
      </c>
      <c r="U16" s="775"/>
      <c r="V16" s="775"/>
      <c r="W16" s="776"/>
      <c r="X16" s="774" t="s">
        <v>567</v>
      </c>
      <c r="Y16" s="775"/>
      <c r="Z16" s="775"/>
      <c r="AA16" s="776"/>
      <c r="AB16" s="798" t="s">
        <v>458</v>
      </c>
    </row>
    <row r="17" spans="1:29" ht="12" customHeight="1">
      <c r="A17" s="798"/>
      <c r="B17" s="800"/>
      <c r="C17" s="800"/>
      <c r="D17" s="777"/>
      <c r="E17" s="778"/>
      <c r="F17" s="778"/>
      <c r="G17" s="779"/>
      <c r="H17" s="777"/>
      <c r="I17" s="778"/>
      <c r="J17" s="778"/>
      <c r="K17" s="779"/>
      <c r="L17" s="777"/>
      <c r="M17" s="778"/>
      <c r="N17" s="778"/>
      <c r="O17" s="779"/>
      <c r="P17" s="777"/>
      <c r="Q17" s="778"/>
      <c r="R17" s="778"/>
      <c r="S17" s="779"/>
      <c r="T17" s="777"/>
      <c r="U17" s="778"/>
      <c r="V17" s="778"/>
      <c r="W17" s="779"/>
      <c r="X17" s="777"/>
      <c r="Y17" s="778"/>
      <c r="Z17" s="778"/>
      <c r="AA17" s="779"/>
      <c r="AB17" s="798"/>
    </row>
    <row r="18" spans="1:29" ht="10.5" hidden="1" customHeight="1">
      <c r="A18" s="798"/>
      <c r="B18" s="799" t="s">
        <v>459</v>
      </c>
      <c r="C18" s="297"/>
      <c r="D18" s="297"/>
      <c r="E18" s="298"/>
      <c r="F18" s="298"/>
      <c r="G18" s="298"/>
      <c r="H18" s="297"/>
      <c r="I18" s="298"/>
      <c r="J18" s="298"/>
      <c r="K18" s="298"/>
      <c r="L18" s="297"/>
      <c r="M18" s="298"/>
      <c r="N18" s="298"/>
      <c r="O18" s="298"/>
      <c r="P18" s="297"/>
      <c r="Q18" s="298"/>
      <c r="R18" s="298"/>
      <c r="S18" s="298"/>
      <c r="T18" s="297"/>
      <c r="U18" s="298"/>
      <c r="V18" s="298"/>
      <c r="W18" s="298"/>
      <c r="X18" s="443"/>
      <c r="Y18" s="298"/>
      <c r="Z18" s="298"/>
      <c r="AA18" s="298"/>
      <c r="AB18" s="798"/>
    </row>
    <row r="19" spans="1:29" ht="3.95" hidden="1" customHeight="1">
      <c r="A19" s="798"/>
      <c r="B19" s="799"/>
      <c r="C19" s="297"/>
      <c r="D19" s="297"/>
      <c r="E19" s="298"/>
      <c r="F19" s="298"/>
      <c r="G19" s="298"/>
      <c r="H19" s="297"/>
      <c r="I19" s="298"/>
      <c r="J19" s="298"/>
      <c r="K19" s="298"/>
      <c r="L19" s="297"/>
      <c r="M19" s="298"/>
      <c r="N19" s="298"/>
      <c r="O19" s="298"/>
      <c r="P19" s="297"/>
      <c r="Q19" s="298"/>
      <c r="R19" s="298"/>
      <c r="S19" s="298"/>
      <c r="T19" s="297"/>
      <c r="U19" s="298"/>
      <c r="V19" s="298"/>
      <c r="W19" s="298"/>
      <c r="X19" s="443"/>
      <c r="Y19" s="298"/>
      <c r="Z19" s="298"/>
      <c r="AA19" s="298"/>
      <c r="AB19" s="798"/>
    </row>
    <row r="20" spans="1:29" ht="9.9499999999999993" hidden="1" customHeight="1">
      <c r="A20" s="798"/>
      <c r="B20" s="799"/>
      <c r="C20" s="297"/>
      <c r="D20" s="297"/>
      <c r="E20" s="299"/>
      <c r="F20" s="299"/>
      <c r="G20" s="299"/>
      <c r="H20" s="297"/>
      <c r="I20" s="299"/>
      <c r="J20" s="299"/>
      <c r="K20" s="299"/>
      <c r="L20" s="297"/>
      <c r="M20" s="299"/>
      <c r="N20" s="299"/>
      <c r="O20" s="299"/>
      <c r="P20" s="297"/>
      <c r="Q20" s="299"/>
      <c r="R20" s="299"/>
      <c r="S20" s="299"/>
      <c r="T20" s="297"/>
      <c r="U20" s="299"/>
      <c r="V20" s="299"/>
      <c r="W20" s="299"/>
      <c r="X20" s="443"/>
      <c r="Y20" s="299"/>
      <c r="Z20" s="299"/>
      <c r="AA20" s="299"/>
      <c r="AB20" s="798"/>
    </row>
    <row r="21" spans="1:29" ht="12.95" customHeight="1">
      <c r="A21" s="798"/>
      <c r="B21" s="798" t="s">
        <v>460</v>
      </c>
      <c r="C21" s="798" t="s">
        <v>461</v>
      </c>
      <c r="D21" s="767" t="s">
        <v>462</v>
      </c>
      <c r="E21" s="780"/>
      <c r="F21" s="780"/>
      <c r="G21" s="768"/>
      <c r="H21" s="767" t="s">
        <v>462</v>
      </c>
      <c r="I21" s="780"/>
      <c r="J21" s="780"/>
      <c r="K21" s="768"/>
      <c r="L21" s="767" t="s">
        <v>462</v>
      </c>
      <c r="M21" s="780"/>
      <c r="N21" s="780"/>
      <c r="O21" s="768"/>
      <c r="P21" s="767" t="s">
        <v>462</v>
      </c>
      <c r="Q21" s="780"/>
      <c r="R21" s="780"/>
      <c r="S21" s="768"/>
      <c r="T21" s="767" t="s">
        <v>462</v>
      </c>
      <c r="U21" s="780"/>
      <c r="V21" s="780"/>
      <c r="W21" s="768"/>
      <c r="X21" s="767" t="s">
        <v>462</v>
      </c>
      <c r="Y21" s="780"/>
      <c r="Z21" s="780"/>
      <c r="AA21" s="768"/>
      <c r="AB21" s="798"/>
    </row>
    <row r="22" spans="1:29" ht="11.25" customHeight="1">
      <c r="A22" s="798"/>
      <c r="B22" s="798"/>
      <c r="C22" s="798"/>
      <c r="D22" s="300" t="s">
        <v>463</v>
      </c>
      <c r="E22" s="300" t="s">
        <v>464</v>
      </c>
      <c r="F22" s="300" t="s">
        <v>465</v>
      </c>
      <c r="G22" s="300" t="s">
        <v>466</v>
      </c>
      <c r="H22" s="300" t="s">
        <v>467</v>
      </c>
      <c r="I22" s="300" t="s">
        <v>468</v>
      </c>
      <c r="J22" s="300" t="s">
        <v>469</v>
      </c>
      <c r="K22" s="300" t="s">
        <v>470</v>
      </c>
      <c r="L22" s="300" t="s">
        <v>471</v>
      </c>
      <c r="M22" s="300" t="s">
        <v>472</v>
      </c>
      <c r="N22" s="300" t="s">
        <v>473</v>
      </c>
      <c r="O22" s="300" t="s">
        <v>474</v>
      </c>
      <c r="P22" s="300" t="s">
        <v>475</v>
      </c>
      <c r="Q22" s="300" t="s">
        <v>476</v>
      </c>
      <c r="R22" s="300" t="s">
        <v>477</v>
      </c>
      <c r="S22" s="300" t="s">
        <v>478</v>
      </c>
      <c r="T22" s="300" t="s">
        <v>479</v>
      </c>
      <c r="U22" s="300" t="s">
        <v>480</v>
      </c>
      <c r="V22" s="300" t="s">
        <v>481</v>
      </c>
      <c r="W22" s="300" t="s">
        <v>482</v>
      </c>
      <c r="X22" s="300" t="s">
        <v>479</v>
      </c>
      <c r="Y22" s="300" t="s">
        <v>480</v>
      </c>
      <c r="Z22" s="300" t="s">
        <v>481</v>
      </c>
      <c r="AA22" s="300" t="s">
        <v>482</v>
      </c>
      <c r="AB22" s="798"/>
    </row>
    <row r="23" spans="1:29" ht="11.1" customHeight="1">
      <c r="A23" s="755">
        <v>1</v>
      </c>
      <c r="B23" s="758" t="str">
        <f>'ORÇAMENTO - CASA DE FORÇA'!B19</f>
        <v>SERVIÇOS PRELIMINARES</v>
      </c>
      <c r="C23" s="787">
        <f>'ORÇAMENTO - CASA DE FORÇA'!H24</f>
        <v>5671.51</v>
      </c>
      <c r="D23" s="764">
        <v>1</v>
      </c>
      <c r="E23" s="765"/>
      <c r="F23" s="765"/>
      <c r="G23" s="766"/>
      <c r="H23" s="781"/>
      <c r="I23" s="782"/>
      <c r="J23" s="782"/>
      <c r="K23" s="783"/>
      <c r="L23" s="781"/>
      <c r="M23" s="782"/>
      <c r="N23" s="782"/>
      <c r="O23" s="783"/>
      <c r="P23" s="764"/>
      <c r="Q23" s="765"/>
      <c r="R23" s="765"/>
      <c r="S23" s="766"/>
      <c r="T23" s="764"/>
      <c r="U23" s="765"/>
      <c r="V23" s="765"/>
      <c r="W23" s="766"/>
      <c r="X23" s="764"/>
      <c r="Y23" s="765"/>
      <c r="Z23" s="765"/>
      <c r="AA23" s="766"/>
      <c r="AB23" s="742">
        <f>C23/$C$77</f>
        <v>5.1000000000000004E-3</v>
      </c>
    </row>
    <row r="24" spans="1:29" ht="3.95" customHeight="1">
      <c r="A24" s="756"/>
      <c r="B24" s="759"/>
      <c r="C24" s="788"/>
      <c r="D24" s="743"/>
      <c r="E24" s="744"/>
      <c r="F24" s="744"/>
      <c r="G24" s="745"/>
      <c r="H24" s="769"/>
      <c r="I24" s="770"/>
      <c r="J24" s="770"/>
      <c r="K24" s="771"/>
      <c r="L24" s="769"/>
      <c r="M24" s="770"/>
      <c r="N24" s="770"/>
      <c r="O24" s="771"/>
      <c r="P24" s="769"/>
      <c r="Q24" s="770"/>
      <c r="R24" s="770"/>
      <c r="S24" s="771"/>
      <c r="T24" s="769"/>
      <c r="U24" s="770"/>
      <c r="V24" s="770"/>
      <c r="W24" s="771"/>
      <c r="X24" s="769"/>
      <c r="Y24" s="770"/>
      <c r="Z24" s="770"/>
      <c r="AA24" s="771"/>
      <c r="AB24" s="742"/>
    </row>
    <row r="25" spans="1:29" ht="11.1" customHeight="1">
      <c r="A25" s="757"/>
      <c r="B25" s="760"/>
      <c r="C25" s="789"/>
      <c r="D25" s="746">
        <f>C23*D23</f>
        <v>5671.51</v>
      </c>
      <c r="E25" s="747"/>
      <c r="F25" s="747"/>
      <c r="G25" s="748"/>
      <c r="H25" s="746"/>
      <c r="I25" s="747"/>
      <c r="J25" s="747"/>
      <c r="K25" s="748"/>
      <c r="L25" s="746"/>
      <c r="M25" s="747"/>
      <c r="N25" s="747"/>
      <c r="O25" s="748"/>
      <c r="P25" s="746"/>
      <c r="Q25" s="747"/>
      <c r="R25" s="747"/>
      <c r="S25" s="748"/>
      <c r="T25" s="746"/>
      <c r="U25" s="747"/>
      <c r="V25" s="747"/>
      <c r="W25" s="748"/>
      <c r="X25" s="746"/>
      <c r="Y25" s="747"/>
      <c r="Z25" s="747"/>
      <c r="AA25" s="748"/>
      <c r="AB25" s="742"/>
      <c r="AC25" s="335">
        <f>SUM(D25:W25)</f>
        <v>5671.51</v>
      </c>
    </row>
    <row r="26" spans="1:29" ht="11.1" customHeight="1">
      <c r="A26" s="755">
        <v>2</v>
      </c>
      <c r="B26" s="758" t="str">
        <f>'ORÇAMENTO - CASA DE FORÇA'!B25</f>
        <v>INFRAESTRUTURA E SUPERESTRUTURA</v>
      </c>
      <c r="C26" s="761">
        <f>'ORÇAMENTO - CASA DE FORÇA'!H36</f>
        <v>47267.64</v>
      </c>
      <c r="D26" s="781">
        <v>0.35</v>
      </c>
      <c r="E26" s="782"/>
      <c r="F26" s="782"/>
      <c r="G26" s="783"/>
      <c r="H26" s="781">
        <v>0.65</v>
      </c>
      <c r="I26" s="782"/>
      <c r="J26" s="782"/>
      <c r="K26" s="783"/>
      <c r="L26" s="764"/>
      <c r="M26" s="765"/>
      <c r="N26" s="765"/>
      <c r="O26" s="766"/>
      <c r="P26" s="764"/>
      <c r="Q26" s="765"/>
      <c r="R26" s="765"/>
      <c r="S26" s="766"/>
      <c r="T26" s="781"/>
      <c r="U26" s="782"/>
      <c r="V26" s="782"/>
      <c r="W26" s="783"/>
      <c r="X26" s="781"/>
      <c r="Y26" s="782"/>
      <c r="Z26" s="782"/>
      <c r="AA26" s="783"/>
      <c r="AB26" s="742">
        <f>C26/$C$77</f>
        <v>4.2200000000000001E-2</v>
      </c>
    </row>
    <row r="27" spans="1:29" ht="3.95" customHeight="1">
      <c r="A27" s="756"/>
      <c r="B27" s="759"/>
      <c r="C27" s="762"/>
      <c r="D27" s="743"/>
      <c r="E27" s="793"/>
      <c r="F27" s="793"/>
      <c r="G27" s="794"/>
      <c r="H27" s="743"/>
      <c r="I27" s="793"/>
      <c r="J27" s="793"/>
      <c r="K27" s="794"/>
      <c r="L27" s="769"/>
      <c r="M27" s="770"/>
      <c r="N27" s="770"/>
      <c r="O27" s="771"/>
      <c r="P27" s="769"/>
      <c r="Q27" s="770"/>
      <c r="R27" s="770"/>
      <c r="S27" s="771"/>
      <c r="T27" s="769"/>
      <c r="U27" s="770"/>
      <c r="V27" s="770"/>
      <c r="W27" s="771"/>
      <c r="X27" s="769"/>
      <c r="Y27" s="770"/>
      <c r="Z27" s="770"/>
      <c r="AA27" s="771"/>
      <c r="AB27" s="742"/>
    </row>
    <row r="28" spans="1:29" ht="11.1" customHeight="1">
      <c r="A28" s="757"/>
      <c r="B28" s="760"/>
      <c r="C28" s="763"/>
      <c r="D28" s="746">
        <f>D26*$C$26</f>
        <v>16543.669999999998</v>
      </c>
      <c r="E28" s="747"/>
      <c r="F28" s="747"/>
      <c r="G28" s="748"/>
      <c r="H28" s="746">
        <f>H26*$C$26</f>
        <v>30723.97</v>
      </c>
      <c r="I28" s="747"/>
      <c r="J28" s="747"/>
      <c r="K28" s="748"/>
      <c r="L28" s="746"/>
      <c r="M28" s="747"/>
      <c r="N28" s="747"/>
      <c r="O28" s="748"/>
      <c r="P28" s="746"/>
      <c r="Q28" s="747"/>
      <c r="R28" s="747"/>
      <c r="S28" s="748"/>
      <c r="T28" s="746"/>
      <c r="U28" s="747"/>
      <c r="V28" s="747"/>
      <c r="W28" s="748"/>
      <c r="X28" s="746"/>
      <c r="Y28" s="747"/>
      <c r="Z28" s="747"/>
      <c r="AA28" s="748"/>
      <c r="AB28" s="742"/>
      <c r="AC28" s="335">
        <f>SUM(D28:AA28)</f>
        <v>47267.64</v>
      </c>
    </row>
    <row r="29" spans="1:29" ht="11.1" customHeight="1">
      <c r="A29" s="755">
        <v>3</v>
      </c>
      <c r="B29" s="758" t="str">
        <f>'ORÇAMENTO - CASA DE FORÇA'!B37</f>
        <v xml:space="preserve"> VEDAÇÕES INTERNAS E EXTERNAS</v>
      </c>
      <c r="C29" s="761">
        <f>'ORÇAMENTO - CASA DE FORÇA'!H40</f>
        <v>21841.119999999999</v>
      </c>
      <c r="D29" s="764"/>
      <c r="E29" s="765"/>
      <c r="F29" s="765"/>
      <c r="G29" s="766"/>
      <c r="H29" s="764"/>
      <c r="I29" s="765"/>
      <c r="J29" s="765"/>
      <c r="K29" s="766"/>
      <c r="L29" s="764">
        <v>1</v>
      </c>
      <c r="M29" s="765"/>
      <c r="N29" s="765"/>
      <c r="O29" s="766"/>
      <c r="P29" s="764"/>
      <c r="Q29" s="765"/>
      <c r="R29" s="765"/>
      <c r="S29" s="766"/>
      <c r="T29" s="764"/>
      <c r="U29" s="765"/>
      <c r="V29" s="765"/>
      <c r="W29" s="766"/>
      <c r="X29" s="764"/>
      <c r="Y29" s="765"/>
      <c r="Z29" s="765"/>
      <c r="AA29" s="766"/>
      <c r="AB29" s="742">
        <f>C29/$C$77</f>
        <v>1.95E-2</v>
      </c>
    </row>
    <row r="30" spans="1:29" ht="3.95" customHeight="1">
      <c r="A30" s="756"/>
      <c r="B30" s="759"/>
      <c r="C30" s="762"/>
      <c r="D30" s="769"/>
      <c r="E30" s="770"/>
      <c r="F30" s="770"/>
      <c r="G30" s="771"/>
      <c r="H30" s="769"/>
      <c r="I30" s="770"/>
      <c r="J30" s="770"/>
      <c r="K30" s="771"/>
      <c r="L30" s="743"/>
      <c r="M30" s="744"/>
      <c r="N30" s="744"/>
      <c r="O30" s="745"/>
      <c r="P30" s="769"/>
      <c r="Q30" s="770"/>
      <c r="R30" s="770"/>
      <c r="S30" s="771"/>
      <c r="T30" s="769"/>
      <c r="U30" s="770"/>
      <c r="V30" s="770"/>
      <c r="W30" s="771"/>
      <c r="X30" s="769"/>
      <c r="Y30" s="770"/>
      <c r="Z30" s="770"/>
      <c r="AA30" s="771"/>
      <c r="AB30" s="742"/>
    </row>
    <row r="31" spans="1:29" ht="11.1" customHeight="1">
      <c r="A31" s="757"/>
      <c r="B31" s="760"/>
      <c r="C31" s="763"/>
      <c r="D31" s="746"/>
      <c r="E31" s="747"/>
      <c r="F31" s="747"/>
      <c r="G31" s="748"/>
      <c r="H31" s="746"/>
      <c r="I31" s="747"/>
      <c r="J31" s="747"/>
      <c r="K31" s="748"/>
      <c r="L31" s="746">
        <f>$C29*L29</f>
        <v>21841.119999999999</v>
      </c>
      <c r="M31" s="747"/>
      <c r="N31" s="747"/>
      <c r="O31" s="748"/>
      <c r="P31" s="746"/>
      <c r="Q31" s="747"/>
      <c r="R31" s="747"/>
      <c r="S31" s="748"/>
      <c r="T31" s="746"/>
      <c r="U31" s="747"/>
      <c r="V31" s="747"/>
      <c r="W31" s="748"/>
      <c r="X31" s="746"/>
      <c r="Y31" s="747"/>
      <c r="Z31" s="747"/>
      <c r="AA31" s="748"/>
      <c r="AB31" s="742"/>
      <c r="AC31" s="335">
        <f>SUM(D31:AA31)</f>
        <v>21841.119999999999</v>
      </c>
    </row>
    <row r="32" spans="1:29" ht="11.1" customHeight="1">
      <c r="A32" s="755">
        <v>4</v>
      </c>
      <c r="B32" s="790" t="str">
        <f>'ORÇAMENTO - CASA DE FORÇA'!B41</f>
        <v xml:space="preserve"> COBERTURA</v>
      </c>
      <c r="C32" s="787">
        <f>'ORÇAMENTO - CASA DE FORÇA'!H46</f>
        <v>28960.91</v>
      </c>
      <c r="D32" s="764"/>
      <c r="E32" s="765"/>
      <c r="F32" s="765"/>
      <c r="G32" s="766"/>
      <c r="H32" s="764"/>
      <c r="I32" s="765"/>
      <c r="J32" s="765"/>
      <c r="K32" s="766"/>
      <c r="L32" s="764">
        <v>0.1</v>
      </c>
      <c r="M32" s="765"/>
      <c r="N32" s="765"/>
      <c r="O32" s="766"/>
      <c r="P32" s="764">
        <v>0.9</v>
      </c>
      <c r="Q32" s="765"/>
      <c r="R32" s="765"/>
      <c r="S32" s="766"/>
      <c r="T32" s="764"/>
      <c r="U32" s="765"/>
      <c r="V32" s="765"/>
      <c r="W32" s="766"/>
      <c r="X32" s="764"/>
      <c r="Y32" s="765"/>
      <c r="Z32" s="765"/>
      <c r="AA32" s="766"/>
      <c r="AB32" s="742">
        <f>C32/$C$77</f>
        <v>2.58E-2</v>
      </c>
    </row>
    <row r="33" spans="1:29" ht="3.95" customHeight="1">
      <c r="A33" s="756"/>
      <c r="B33" s="791"/>
      <c r="C33" s="788"/>
      <c r="D33" s="769"/>
      <c r="E33" s="770"/>
      <c r="F33" s="770"/>
      <c r="G33" s="771"/>
      <c r="H33" s="769"/>
      <c r="I33" s="770"/>
      <c r="J33" s="770"/>
      <c r="K33" s="771"/>
      <c r="L33" s="743"/>
      <c r="M33" s="744"/>
      <c r="N33" s="744"/>
      <c r="O33" s="745"/>
      <c r="P33" s="743"/>
      <c r="Q33" s="744"/>
      <c r="R33" s="744"/>
      <c r="S33" s="745"/>
      <c r="T33" s="769"/>
      <c r="U33" s="770"/>
      <c r="V33" s="770"/>
      <c r="W33" s="771"/>
      <c r="X33" s="769"/>
      <c r="Y33" s="770"/>
      <c r="Z33" s="770"/>
      <c r="AA33" s="771"/>
      <c r="AB33" s="742"/>
    </row>
    <row r="34" spans="1:29" ht="11.1" customHeight="1">
      <c r="A34" s="757"/>
      <c r="B34" s="792"/>
      <c r="C34" s="789"/>
      <c r="D34" s="746"/>
      <c r="E34" s="747"/>
      <c r="F34" s="747"/>
      <c r="G34" s="748"/>
      <c r="H34" s="746"/>
      <c r="I34" s="747"/>
      <c r="J34" s="747"/>
      <c r="K34" s="748"/>
      <c r="L34" s="746">
        <f>$C32*L32</f>
        <v>2896.09</v>
      </c>
      <c r="M34" s="747"/>
      <c r="N34" s="747"/>
      <c r="O34" s="748"/>
      <c r="P34" s="746">
        <f>$C32*P32</f>
        <v>26064.82</v>
      </c>
      <c r="Q34" s="747"/>
      <c r="R34" s="747"/>
      <c r="S34" s="748"/>
      <c r="T34" s="746"/>
      <c r="U34" s="747"/>
      <c r="V34" s="747"/>
      <c r="W34" s="748"/>
      <c r="X34" s="746"/>
      <c r="Y34" s="747"/>
      <c r="Z34" s="747"/>
      <c r="AA34" s="748"/>
      <c r="AB34" s="742"/>
      <c r="AC34" s="335">
        <f>SUM(D34:AA34)</f>
        <v>28960.91</v>
      </c>
    </row>
    <row r="35" spans="1:29" ht="11.1" customHeight="1">
      <c r="A35" s="755">
        <v>5</v>
      </c>
      <c r="B35" s="790" t="str">
        <f>'ORÇAMENTO - CASA DE FORÇA'!B47</f>
        <v>INSTALAÇÕES ELÉTRICAS</v>
      </c>
      <c r="C35" s="787">
        <f>'ORÇAMENTO - CASA DE FORÇA'!H82</f>
        <v>230455.92</v>
      </c>
      <c r="D35" s="764"/>
      <c r="E35" s="765"/>
      <c r="F35" s="765"/>
      <c r="G35" s="766"/>
      <c r="H35" s="764"/>
      <c r="I35" s="765"/>
      <c r="J35" s="765"/>
      <c r="K35" s="766"/>
      <c r="L35" s="764">
        <v>0.25</v>
      </c>
      <c r="M35" s="765"/>
      <c r="N35" s="765"/>
      <c r="O35" s="766"/>
      <c r="P35" s="764">
        <v>0.4</v>
      </c>
      <c r="Q35" s="765"/>
      <c r="R35" s="765"/>
      <c r="S35" s="766"/>
      <c r="T35" s="764">
        <v>0.25</v>
      </c>
      <c r="U35" s="772"/>
      <c r="V35" s="772"/>
      <c r="W35" s="773"/>
      <c r="X35" s="764">
        <v>0.1</v>
      </c>
      <c r="Y35" s="772"/>
      <c r="Z35" s="772"/>
      <c r="AA35" s="773"/>
      <c r="AB35" s="742">
        <f>C35/$C$77</f>
        <v>0.20569999999999999</v>
      </c>
    </row>
    <row r="36" spans="1:29" ht="3.95" customHeight="1">
      <c r="A36" s="756"/>
      <c r="B36" s="791"/>
      <c r="C36" s="788"/>
      <c r="D36" s="769"/>
      <c r="E36" s="770"/>
      <c r="F36" s="770"/>
      <c r="G36" s="771"/>
      <c r="H36" s="769"/>
      <c r="I36" s="770"/>
      <c r="J36" s="770"/>
      <c r="K36" s="771"/>
      <c r="L36" s="743"/>
      <c r="M36" s="744"/>
      <c r="N36" s="744"/>
      <c r="O36" s="745"/>
      <c r="P36" s="743"/>
      <c r="Q36" s="744"/>
      <c r="R36" s="744"/>
      <c r="S36" s="745"/>
      <c r="T36" s="743"/>
      <c r="U36" s="744"/>
      <c r="V36" s="744"/>
      <c r="W36" s="745"/>
      <c r="X36" s="743"/>
      <c r="Y36" s="744"/>
      <c r="Z36" s="744"/>
      <c r="AA36" s="745"/>
      <c r="AB36" s="742"/>
    </row>
    <row r="37" spans="1:29" ht="11.1" customHeight="1">
      <c r="A37" s="757"/>
      <c r="B37" s="792"/>
      <c r="C37" s="789"/>
      <c r="D37" s="746"/>
      <c r="E37" s="747"/>
      <c r="F37" s="747"/>
      <c r="G37" s="748"/>
      <c r="H37" s="746"/>
      <c r="I37" s="747"/>
      <c r="J37" s="747"/>
      <c r="K37" s="748"/>
      <c r="L37" s="746">
        <f>$C35*L35</f>
        <v>57613.98</v>
      </c>
      <c r="M37" s="747"/>
      <c r="N37" s="747"/>
      <c r="O37" s="748"/>
      <c r="P37" s="746">
        <f t="shared" ref="P37" si="0">$C35*P35</f>
        <v>92182.37</v>
      </c>
      <c r="Q37" s="747"/>
      <c r="R37" s="747"/>
      <c r="S37" s="748"/>
      <c r="T37" s="746">
        <f t="shared" ref="T37" si="1">$C35*T35</f>
        <v>57613.98</v>
      </c>
      <c r="U37" s="747"/>
      <c r="V37" s="747"/>
      <c r="W37" s="748"/>
      <c r="X37" s="746">
        <f t="shared" ref="X37" si="2">$C35*X35</f>
        <v>23045.59</v>
      </c>
      <c r="Y37" s="747"/>
      <c r="Z37" s="747"/>
      <c r="AA37" s="748"/>
      <c r="AB37" s="742"/>
      <c r="AC37" s="335">
        <f>SUM(D37:AA37)</f>
        <v>230455.92</v>
      </c>
    </row>
    <row r="38" spans="1:29" ht="15.75" customHeight="1">
      <c r="A38" s="755">
        <v>6</v>
      </c>
      <c r="B38" s="790" t="str">
        <f>'ORÇAMENTO - CASA DE FORÇA'!B83</f>
        <v>SISTEMA DE PROTEÇÃO CONTRA DESCARGAS ATMOSFÉRICAS (SPDA)</v>
      </c>
      <c r="C38" s="787">
        <f>'ORÇAMENTO - CASA DE FORÇA'!H92</f>
        <v>5534.53</v>
      </c>
      <c r="D38" s="764"/>
      <c r="E38" s="765"/>
      <c r="F38" s="765"/>
      <c r="G38" s="766"/>
      <c r="H38" s="764"/>
      <c r="I38" s="765"/>
      <c r="J38" s="765"/>
      <c r="K38" s="766"/>
      <c r="L38" s="764"/>
      <c r="M38" s="765"/>
      <c r="N38" s="765"/>
      <c r="O38" s="766"/>
      <c r="P38" s="764">
        <v>1</v>
      </c>
      <c r="Q38" s="765"/>
      <c r="R38" s="765"/>
      <c r="S38" s="766"/>
      <c r="T38" s="764"/>
      <c r="U38" s="765"/>
      <c r="V38" s="765"/>
      <c r="W38" s="766"/>
      <c r="X38" s="764"/>
      <c r="Y38" s="765"/>
      <c r="Z38" s="765"/>
      <c r="AA38" s="766"/>
      <c r="AB38" s="742">
        <f>C38/$C$77</f>
        <v>4.8999999999999998E-3</v>
      </c>
    </row>
    <row r="39" spans="1:29" ht="5.25" customHeight="1">
      <c r="A39" s="756"/>
      <c r="B39" s="791"/>
      <c r="C39" s="788"/>
      <c r="D39" s="769"/>
      <c r="E39" s="770"/>
      <c r="F39" s="770"/>
      <c r="G39" s="771"/>
      <c r="H39" s="769"/>
      <c r="I39" s="770"/>
      <c r="J39" s="770"/>
      <c r="K39" s="771"/>
      <c r="L39" s="769"/>
      <c r="M39" s="770"/>
      <c r="N39" s="770"/>
      <c r="O39" s="771"/>
      <c r="P39" s="743"/>
      <c r="Q39" s="744"/>
      <c r="R39" s="744"/>
      <c r="S39" s="745"/>
      <c r="T39" s="769"/>
      <c r="U39" s="770"/>
      <c r="V39" s="770"/>
      <c r="W39" s="771"/>
      <c r="X39" s="769"/>
      <c r="Y39" s="770"/>
      <c r="Z39" s="770"/>
      <c r="AA39" s="771"/>
      <c r="AB39" s="742"/>
    </row>
    <row r="40" spans="1:29" ht="15.75" customHeight="1">
      <c r="A40" s="757"/>
      <c r="B40" s="792"/>
      <c r="C40" s="789"/>
      <c r="D40" s="746"/>
      <c r="E40" s="747"/>
      <c r="F40" s="747"/>
      <c r="G40" s="748"/>
      <c r="H40" s="746"/>
      <c r="I40" s="747"/>
      <c r="J40" s="747"/>
      <c r="K40" s="748"/>
      <c r="L40" s="746"/>
      <c r="M40" s="747"/>
      <c r="N40" s="747"/>
      <c r="O40" s="748"/>
      <c r="P40" s="746">
        <f>$C38*P38</f>
        <v>5534.53</v>
      </c>
      <c r="Q40" s="747"/>
      <c r="R40" s="747"/>
      <c r="S40" s="748"/>
      <c r="T40" s="746"/>
      <c r="U40" s="747"/>
      <c r="V40" s="747"/>
      <c r="W40" s="748"/>
      <c r="X40" s="746"/>
      <c r="Y40" s="747"/>
      <c r="Z40" s="747"/>
      <c r="AA40" s="748"/>
      <c r="AB40" s="742"/>
      <c r="AC40" s="335">
        <f>SUM(D40:AA40)</f>
        <v>5534.53</v>
      </c>
    </row>
    <row r="41" spans="1:29" ht="11.1" customHeight="1">
      <c r="A41" s="755">
        <v>7</v>
      </c>
      <c r="B41" s="758" t="str">
        <f>'ORÇAMENTO - CASA DE FORÇA'!B93</f>
        <v>DRENAGEM</v>
      </c>
      <c r="C41" s="761">
        <f>'ORÇAMENTO - CASA DE FORÇA'!H100</f>
        <v>10042.049999999999</v>
      </c>
      <c r="D41" s="764">
        <v>0.25</v>
      </c>
      <c r="E41" s="765"/>
      <c r="F41" s="765"/>
      <c r="G41" s="766"/>
      <c r="H41" s="764">
        <v>0.15</v>
      </c>
      <c r="I41" s="765"/>
      <c r="J41" s="765"/>
      <c r="K41" s="766"/>
      <c r="L41" s="764">
        <v>0.15</v>
      </c>
      <c r="M41" s="765"/>
      <c r="N41" s="765"/>
      <c r="O41" s="766"/>
      <c r="P41" s="764">
        <v>0.45</v>
      </c>
      <c r="Q41" s="765"/>
      <c r="R41" s="765"/>
      <c r="S41" s="766"/>
      <c r="T41" s="764"/>
      <c r="U41" s="765"/>
      <c r="V41" s="765"/>
      <c r="W41" s="766"/>
      <c r="X41" s="764"/>
      <c r="Y41" s="765"/>
      <c r="Z41" s="765"/>
      <c r="AA41" s="766"/>
      <c r="AB41" s="742">
        <f>C41/$C$77</f>
        <v>8.9999999999999993E-3</v>
      </c>
    </row>
    <row r="42" spans="1:29" ht="3.95" customHeight="1">
      <c r="A42" s="756"/>
      <c r="B42" s="759"/>
      <c r="C42" s="762"/>
      <c r="D42" s="743"/>
      <c r="E42" s="744"/>
      <c r="F42" s="744"/>
      <c r="G42" s="745"/>
      <c r="H42" s="743"/>
      <c r="I42" s="744"/>
      <c r="J42" s="744"/>
      <c r="K42" s="745"/>
      <c r="L42" s="743"/>
      <c r="M42" s="744"/>
      <c r="N42" s="744"/>
      <c r="O42" s="745"/>
      <c r="P42" s="743"/>
      <c r="Q42" s="744"/>
      <c r="R42" s="744"/>
      <c r="S42" s="745"/>
      <c r="T42" s="769"/>
      <c r="U42" s="770"/>
      <c r="V42" s="770"/>
      <c r="W42" s="771"/>
      <c r="X42" s="769"/>
      <c r="Y42" s="770"/>
      <c r="Z42" s="770"/>
      <c r="AA42" s="771"/>
      <c r="AB42" s="742"/>
    </row>
    <row r="43" spans="1:29" ht="12" customHeight="1">
      <c r="A43" s="757"/>
      <c r="B43" s="760"/>
      <c r="C43" s="763"/>
      <c r="D43" s="746">
        <f>$C41*D41</f>
        <v>2510.5100000000002</v>
      </c>
      <c r="E43" s="747"/>
      <c r="F43" s="747"/>
      <c r="G43" s="748"/>
      <c r="H43" s="746">
        <f>$C41*H41</f>
        <v>1506.31</v>
      </c>
      <c r="I43" s="747"/>
      <c r="J43" s="747"/>
      <c r="K43" s="748"/>
      <c r="L43" s="746">
        <f>$C41*L41</f>
        <v>1506.31</v>
      </c>
      <c r="M43" s="747"/>
      <c r="N43" s="747"/>
      <c r="O43" s="748"/>
      <c r="P43" s="746">
        <f>$C41*P41</f>
        <v>4518.92</v>
      </c>
      <c r="Q43" s="747"/>
      <c r="R43" s="747"/>
      <c r="S43" s="748"/>
      <c r="T43" s="746"/>
      <c r="U43" s="747"/>
      <c r="V43" s="747"/>
      <c r="W43" s="748"/>
      <c r="X43" s="746"/>
      <c r="Y43" s="747"/>
      <c r="Z43" s="747"/>
      <c r="AA43" s="748"/>
      <c r="AB43" s="742"/>
      <c r="AC43" s="335">
        <f>SUM(D43:AA43)</f>
        <v>10042.049999999999</v>
      </c>
    </row>
    <row r="44" spans="1:29" ht="11.1" customHeight="1">
      <c r="A44" s="755">
        <v>8</v>
      </c>
      <c r="B44" s="758" t="str">
        <f>'ORÇAMENTO - CASA DE FORÇA'!B101</f>
        <v xml:space="preserve"> REVESTIMENTO DE PAREDES INTERNAS E EXTERNAS</v>
      </c>
      <c r="C44" s="761">
        <f>'ORÇAMENTO - CASA DE FORÇA'!H105</f>
        <v>20604.97</v>
      </c>
      <c r="D44" s="764"/>
      <c r="E44" s="765"/>
      <c r="F44" s="765"/>
      <c r="G44" s="766"/>
      <c r="H44" s="764">
        <v>0.45</v>
      </c>
      <c r="I44" s="765"/>
      <c r="J44" s="765"/>
      <c r="K44" s="766"/>
      <c r="L44" s="764">
        <v>0.3</v>
      </c>
      <c r="M44" s="765"/>
      <c r="N44" s="765"/>
      <c r="O44" s="766"/>
      <c r="P44" s="764">
        <v>0.25</v>
      </c>
      <c r="Q44" s="765"/>
      <c r="R44" s="765"/>
      <c r="S44" s="766"/>
      <c r="T44" s="746"/>
      <c r="U44" s="747"/>
      <c r="V44" s="747"/>
      <c r="W44" s="748"/>
      <c r="X44" s="746"/>
      <c r="Y44" s="747"/>
      <c r="Z44" s="747"/>
      <c r="AA44" s="748"/>
      <c r="AB44" s="742">
        <f>C44/$C$77</f>
        <v>1.84E-2</v>
      </c>
    </row>
    <row r="45" spans="1:29" ht="3.95" customHeight="1">
      <c r="A45" s="756"/>
      <c r="B45" s="759"/>
      <c r="C45" s="762"/>
      <c r="D45" s="769"/>
      <c r="E45" s="770"/>
      <c r="F45" s="770"/>
      <c r="G45" s="771"/>
      <c r="H45" s="743"/>
      <c r="I45" s="744"/>
      <c r="J45" s="744"/>
      <c r="K45" s="745"/>
      <c r="L45" s="743"/>
      <c r="M45" s="744"/>
      <c r="N45" s="744"/>
      <c r="O45" s="745"/>
      <c r="P45" s="743"/>
      <c r="Q45" s="744"/>
      <c r="R45" s="744"/>
      <c r="S45" s="745"/>
      <c r="T45" s="746"/>
      <c r="U45" s="747"/>
      <c r="V45" s="747"/>
      <c r="W45" s="748"/>
      <c r="X45" s="746"/>
      <c r="Y45" s="747"/>
      <c r="Z45" s="747"/>
      <c r="AA45" s="748"/>
      <c r="AB45" s="742"/>
    </row>
    <row r="46" spans="1:29" ht="11.1" customHeight="1">
      <c r="A46" s="757"/>
      <c r="B46" s="760"/>
      <c r="C46" s="763"/>
      <c r="D46" s="746"/>
      <c r="E46" s="747"/>
      <c r="F46" s="747"/>
      <c r="G46" s="748"/>
      <c r="H46" s="746">
        <f>$C44*H44</f>
        <v>9272.24</v>
      </c>
      <c r="I46" s="747"/>
      <c r="J46" s="747"/>
      <c r="K46" s="748"/>
      <c r="L46" s="746">
        <f>$C44*L44</f>
        <v>6181.49</v>
      </c>
      <c r="M46" s="747"/>
      <c r="N46" s="747"/>
      <c r="O46" s="748"/>
      <c r="P46" s="746">
        <f>$C44*P44</f>
        <v>5151.24</v>
      </c>
      <c r="Q46" s="747"/>
      <c r="R46" s="747"/>
      <c r="S46" s="748"/>
      <c r="T46" s="746"/>
      <c r="U46" s="747"/>
      <c r="V46" s="747"/>
      <c r="W46" s="748"/>
      <c r="X46" s="746"/>
      <c r="Y46" s="747"/>
      <c r="Z46" s="747"/>
      <c r="AA46" s="748"/>
      <c r="AB46" s="742"/>
      <c r="AC46" s="335">
        <f>SUM(D46:AA46)</f>
        <v>20604.97</v>
      </c>
    </row>
    <row r="47" spans="1:29" ht="11.1" customHeight="1">
      <c r="A47" s="755">
        <v>9</v>
      </c>
      <c r="B47" s="758" t="str">
        <f>'ORÇAMENTO - CASA DE FORÇA'!B106</f>
        <v xml:space="preserve">  PISOS</v>
      </c>
      <c r="C47" s="761">
        <f>'ORÇAMENTO - CASA DE FORÇA'!H112</f>
        <v>42292.66</v>
      </c>
      <c r="D47" s="764"/>
      <c r="E47" s="765"/>
      <c r="F47" s="765"/>
      <c r="G47" s="766"/>
      <c r="H47" s="764"/>
      <c r="I47" s="765"/>
      <c r="J47" s="765"/>
      <c r="K47" s="766"/>
      <c r="L47" s="764">
        <v>0.24</v>
      </c>
      <c r="M47" s="765"/>
      <c r="N47" s="765"/>
      <c r="O47" s="766"/>
      <c r="P47" s="764">
        <v>0.26</v>
      </c>
      <c r="Q47" s="765"/>
      <c r="R47" s="765"/>
      <c r="S47" s="766"/>
      <c r="T47" s="764">
        <v>0.24</v>
      </c>
      <c r="U47" s="765"/>
      <c r="V47" s="765"/>
      <c r="W47" s="766"/>
      <c r="X47" s="764">
        <v>0.26</v>
      </c>
      <c r="Y47" s="765"/>
      <c r="Z47" s="765"/>
      <c r="AA47" s="766"/>
      <c r="AB47" s="742">
        <f>C47/$C$77</f>
        <v>3.7699999999999997E-2</v>
      </c>
    </row>
    <row r="48" spans="1:29" ht="3.95" customHeight="1">
      <c r="A48" s="756"/>
      <c r="B48" s="759"/>
      <c r="C48" s="762"/>
      <c r="D48" s="769"/>
      <c r="E48" s="770"/>
      <c r="F48" s="770"/>
      <c r="G48" s="771"/>
      <c r="H48" s="769"/>
      <c r="I48" s="770"/>
      <c r="J48" s="770"/>
      <c r="K48" s="771"/>
      <c r="L48" s="743"/>
      <c r="M48" s="744"/>
      <c r="N48" s="744"/>
      <c r="O48" s="745"/>
      <c r="P48" s="743"/>
      <c r="Q48" s="744"/>
      <c r="R48" s="744"/>
      <c r="S48" s="745"/>
      <c r="T48" s="743"/>
      <c r="U48" s="744"/>
      <c r="V48" s="744"/>
      <c r="W48" s="745"/>
      <c r="X48" s="743"/>
      <c r="Y48" s="744"/>
      <c r="Z48" s="744"/>
      <c r="AA48" s="745"/>
      <c r="AB48" s="742"/>
    </row>
    <row r="49" spans="1:29" ht="14.25" customHeight="1">
      <c r="A49" s="757"/>
      <c r="B49" s="760"/>
      <c r="C49" s="763"/>
      <c r="D49" s="746"/>
      <c r="E49" s="747"/>
      <c r="F49" s="747"/>
      <c r="G49" s="748"/>
      <c r="H49" s="746"/>
      <c r="I49" s="747"/>
      <c r="J49" s="747"/>
      <c r="K49" s="748"/>
      <c r="L49" s="746">
        <f>$C47*L47</f>
        <v>10150.24</v>
      </c>
      <c r="M49" s="747"/>
      <c r="N49" s="747"/>
      <c r="O49" s="748"/>
      <c r="P49" s="746">
        <f>$C47*P47</f>
        <v>10996.09</v>
      </c>
      <c r="Q49" s="747"/>
      <c r="R49" s="747"/>
      <c r="S49" s="748"/>
      <c r="T49" s="746">
        <f>$C47*T47</f>
        <v>10150.24</v>
      </c>
      <c r="U49" s="747"/>
      <c r="V49" s="747"/>
      <c r="W49" s="748"/>
      <c r="X49" s="746">
        <f>$C47*X47</f>
        <v>10996.09</v>
      </c>
      <c r="Y49" s="747"/>
      <c r="Z49" s="747"/>
      <c r="AA49" s="748"/>
      <c r="AB49" s="742"/>
      <c r="AC49" s="335">
        <f>SUM(D49:AA49)</f>
        <v>42292.66</v>
      </c>
    </row>
    <row r="50" spans="1:29" ht="11.1" customHeight="1">
      <c r="A50" s="755">
        <v>10</v>
      </c>
      <c r="B50" s="790" t="str">
        <f>'ORÇAMENTO - CASA DE FORÇA'!B113</f>
        <v xml:space="preserve"> ESQUADRIAS/PORTÕES E GRADES</v>
      </c>
      <c r="C50" s="761">
        <f>'ORÇAMENTO - CASA DE FORÇA'!H119</f>
        <v>17088.13</v>
      </c>
      <c r="D50" s="764"/>
      <c r="E50" s="765"/>
      <c r="F50" s="765"/>
      <c r="G50" s="766"/>
      <c r="H50" s="764"/>
      <c r="I50" s="765"/>
      <c r="J50" s="765"/>
      <c r="K50" s="766"/>
      <c r="L50" s="764">
        <v>0.49</v>
      </c>
      <c r="M50" s="765"/>
      <c r="N50" s="765"/>
      <c r="O50" s="766"/>
      <c r="P50" s="764">
        <v>0.51</v>
      </c>
      <c r="Q50" s="765"/>
      <c r="R50" s="765"/>
      <c r="S50" s="766"/>
      <c r="T50" s="764"/>
      <c r="U50" s="765"/>
      <c r="V50" s="765"/>
      <c r="W50" s="766"/>
      <c r="X50" s="764"/>
      <c r="Y50" s="765"/>
      <c r="Z50" s="765"/>
      <c r="AA50" s="766"/>
      <c r="AB50" s="742">
        <f>C50/$C$77</f>
        <v>1.5299999999999999E-2</v>
      </c>
    </row>
    <row r="51" spans="1:29" ht="3.95" customHeight="1">
      <c r="A51" s="756"/>
      <c r="B51" s="791"/>
      <c r="C51" s="762"/>
      <c r="D51" s="769"/>
      <c r="E51" s="770"/>
      <c r="F51" s="770"/>
      <c r="G51" s="771"/>
      <c r="H51" s="769"/>
      <c r="I51" s="770"/>
      <c r="J51" s="770"/>
      <c r="K51" s="771"/>
      <c r="L51" s="743"/>
      <c r="M51" s="744"/>
      <c r="N51" s="744"/>
      <c r="O51" s="745"/>
      <c r="P51" s="743"/>
      <c r="Q51" s="744"/>
      <c r="R51" s="744"/>
      <c r="S51" s="745"/>
      <c r="T51" s="769"/>
      <c r="U51" s="770"/>
      <c r="V51" s="770"/>
      <c r="W51" s="771"/>
      <c r="X51" s="769"/>
      <c r="Y51" s="770"/>
      <c r="Z51" s="770"/>
      <c r="AA51" s="771"/>
      <c r="AB51" s="742"/>
    </row>
    <row r="52" spans="1:29" ht="11.1" customHeight="1">
      <c r="A52" s="757"/>
      <c r="B52" s="792"/>
      <c r="C52" s="763"/>
      <c r="D52" s="746"/>
      <c r="E52" s="747"/>
      <c r="F52" s="747"/>
      <c r="G52" s="748"/>
      <c r="H52" s="746"/>
      <c r="I52" s="747"/>
      <c r="J52" s="747"/>
      <c r="K52" s="748"/>
      <c r="L52" s="746">
        <f>$C50*L50</f>
        <v>8373.18</v>
      </c>
      <c r="M52" s="747"/>
      <c r="N52" s="747"/>
      <c r="O52" s="748"/>
      <c r="P52" s="746">
        <f>$C50*P50</f>
        <v>8714.9500000000007</v>
      </c>
      <c r="Q52" s="747"/>
      <c r="R52" s="747"/>
      <c r="S52" s="748"/>
      <c r="T52" s="746"/>
      <c r="U52" s="747"/>
      <c r="V52" s="747"/>
      <c r="W52" s="748"/>
      <c r="X52" s="746"/>
      <c r="Y52" s="747"/>
      <c r="Z52" s="747"/>
      <c r="AA52" s="748"/>
      <c r="AB52" s="742"/>
      <c r="AC52" s="335">
        <f>SUM(D52:AA52)</f>
        <v>17088.13</v>
      </c>
    </row>
    <row r="53" spans="1:29" ht="11.1" customHeight="1">
      <c r="A53" s="755">
        <v>11</v>
      </c>
      <c r="B53" s="758" t="str">
        <f>'ORÇAMENTO - CASA DE FORÇA'!B120</f>
        <v>FORRO</v>
      </c>
      <c r="C53" s="787">
        <f>'ORÇAMENTO - CASA DE FORÇA'!H123</f>
        <v>18457.990000000002</v>
      </c>
      <c r="D53" s="764"/>
      <c r="E53" s="765"/>
      <c r="F53" s="765"/>
      <c r="G53" s="766"/>
      <c r="H53" s="764"/>
      <c r="I53" s="765"/>
      <c r="J53" s="765"/>
      <c r="K53" s="766"/>
      <c r="L53" s="764"/>
      <c r="M53" s="765"/>
      <c r="N53" s="765"/>
      <c r="O53" s="766"/>
      <c r="P53" s="764">
        <v>0.1</v>
      </c>
      <c r="Q53" s="765"/>
      <c r="R53" s="765"/>
      <c r="S53" s="766"/>
      <c r="T53" s="764">
        <v>0.9</v>
      </c>
      <c r="U53" s="765"/>
      <c r="V53" s="765"/>
      <c r="W53" s="766"/>
      <c r="X53" s="764"/>
      <c r="Y53" s="765"/>
      <c r="Z53" s="765"/>
      <c r="AA53" s="766"/>
      <c r="AB53" s="742">
        <f>C53/$C$77</f>
        <v>1.6500000000000001E-2</v>
      </c>
    </row>
    <row r="54" spans="1:29" ht="3.95" customHeight="1">
      <c r="A54" s="756"/>
      <c r="B54" s="759"/>
      <c r="C54" s="788"/>
      <c r="D54" s="769"/>
      <c r="E54" s="770"/>
      <c r="F54" s="770"/>
      <c r="G54" s="771"/>
      <c r="H54" s="769"/>
      <c r="I54" s="770"/>
      <c r="J54" s="770"/>
      <c r="K54" s="771"/>
      <c r="L54" s="769"/>
      <c r="M54" s="770"/>
      <c r="N54" s="770"/>
      <c r="O54" s="771"/>
      <c r="P54" s="743"/>
      <c r="Q54" s="744"/>
      <c r="R54" s="744"/>
      <c r="S54" s="745"/>
      <c r="T54" s="743"/>
      <c r="U54" s="744"/>
      <c r="V54" s="744"/>
      <c r="W54" s="745"/>
      <c r="X54" s="769"/>
      <c r="Y54" s="770"/>
      <c r="Z54" s="770"/>
      <c r="AA54" s="771"/>
      <c r="AB54" s="742"/>
    </row>
    <row r="55" spans="1:29" ht="10.5" customHeight="1">
      <c r="A55" s="757"/>
      <c r="B55" s="760"/>
      <c r="C55" s="789"/>
      <c r="D55" s="746"/>
      <c r="E55" s="747"/>
      <c r="F55" s="747"/>
      <c r="G55" s="748"/>
      <c r="H55" s="746"/>
      <c r="I55" s="747"/>
      <c r="J55" s="747"/>
      <c r="K55" s="748"/>
      <c r="L55" s="746"/>
      <c r="M55" s="747"/>
      <c r="N55" s="747"/>
      <c r="O55" s="748"/>
      <c r="P55" s="746">
        <f>$C53*P53</f>
        <v>1845.8</v>
      </c>
      <c r="Q55" s="747"/>
      <c r="R55" s="747"/>
      <c r="S55" s="748"/>
      <c r="T55" s="746">
        <f>$C53*T53</f>
        <v>16612.189999999999</v>
      </c>
      <c r="U55" s="747"/>
      <c r="V55" s="747"/>
      <c r="W55" s="748"/>
      <c r="X55" s="746">
        <f>$C53*X53</f>
        <v>0</v>
      </c>
      <c r="Y55" s="747"/>
      <c r="Z55" s="747"/>
      <c r="AA55" s="748"/>
      <c r="AB55" s="742"/>
      <c r="AC55" s="335">
        <f>SUM(D55:AA55)</f>
        <v>18457.990000000002</v>
      </c>
    </row>
    <row r="56" spans="1:29" ht="11.1" customHeight="1">
      <c r="A56" s="755">
        <v>12</v>
      </c>
      <c r="B56" s="758" t="str">
        <f>'ORÇAMENTO - CASA DE FORÇA'!B124</f>
        <v xml:space="preserve"> GRANITO</v>
      </c>
      <c r="C56" s="787">
        <f>'ORÇAMENTO - CASA DE FORÇA'!H126</f>
        <v>269.29000000000002</v>
      </c>
      <c r="D56" s="764"/>
      <c r="E56" s="765"/>
      <c r="F56" s="765"/>
      <c r="G56" s="766"/>
      <c r="H56" s="764"/>
      <c r="I56" s="765"/>
      <c r="J56" s="765"/>
      <c r="K56" s="766"/>
      <c r="L56" s="764"/>
      <c r="M56" s="765"/>
      <c r="N56" s="765"/>
      <c r="O56" s="766"/>
      <c r="P56" s="764">
        <v>1</v>
      </c>
      <c r="Q56" s="765"/>
      <c r="R56" s="765"/>
      <c r="S56" s="766"/>
      <c r="T56" s="764"/>
      <c r="U56" s="765"/>
      <c r="V56" s="765"/>
      <c r="W56" s="766"/>
      <c r="X56" s="764"/>
      <c r="Y56" s="765"/>
      <c r="Z56" s="765"/>
      <c r="AA56" s="766"/>
      <c r="AB56" s="742">
        <f>C56/$C$77</f>
        <v>2.0000000000000001E-4</v>
      </c>
    </row>
    <row r="57" spans="1:29" ht="3.95" customHeight="1">
      <c r="A57" s="756"/>
      <c r="B57" s="759"/>
      <c r="C57" s="788"/>
      <c r="D57" s="769"/>
      <c r="E57" s="770"/>
      <c r="F57" s="770"/>
      <c r="G57" s="771"/>
      <c r="H57" s="769"/>
      <c r="I57" s="770"/>
      <c r="J57" s="770"/>
      <c r="K57" s="771"/>
      <c r="L57" s="769"/>
      <c r="M57" s="770"/>
      <c r="N57" s="770"/>
      <c r="O57" s="771"/>
      <c r="P57" s="743"/>
      <c r="Q57" s="744"/>
      <c r="R57" s="744"/>
      <c r="S57" s="745"/>
      <c r="T57" s="769"/>
      <c r="U57" s="770"/>
      <c r="V57" s="770"/>
      <c r="W57" s="771"/>
      <c r="X57" s="769"/>
      <c r="Y57" s="770"/>
      <c r="Z57" s="770"/>
      <c r="AA57" s="771"/>
      <c r="AB57" s="742"/>
    </row>
    <row r="58" spans="1:29" ht="11.1" customHeight="1">
      <c r="A58" s="757"/>
      <c r="B58" s="760"/>
      <c r="C58" s="789"/>
      <c r="D58" s="746"/>
      <c r="E58" s="747"/>
      <c r="F58" s="747"/>
      <c r="G58" s="748"/>
      <c r="H58" s="746"/>
      <c r="I58" s="747"/>
      <c r="J58" s="747"/>
      <c r="K58" s="748"/>
      <c r="L58" s="746"/>
      <c r="M58" s="747"/>
      <c r="N58" s="747"/>
      <c r="O58" s="748"/>
      <c r="P58" s="746">
        <f>$C56*P56</f>
        <v>269.29000000000002</v>
      </c>
      <c r="Q58" s="747"/>
      <c r="R58" s="747"/>
      <c r="S58" s="748"/>
      <c r="T58" s="746"/>
      <c r="U58" s="747"/>
      <c r="V58" s="747"/>
      <c r="W58" s="748"/>
      <c r="X58" s="746"/>
      <c r="Y58" s="747"/>
      <c r="Z58" s="747"/>
      <c r="AA58" s="748"/>
      <c r="AB58" s="742"/>
      <c r="AC58" s="335">
        <f>SUM(D58:AA58)</f>
        <v>269.29000000000002</v>
      </c>
    </row>
    <row r="59" spans="1:29" ht="11.1" customHeight="1">
      <c r="A59" s="755">
        <v>13</v>
      </c>
      <c r="B59" s="758" t="str">
        <f>'ORÇAMENTO - CASA DE FORÇA'!B127</f>
        <v>PINTURA</v>
      </c>
      <c r="C59" s="761">
        <f>'ORÇAMENTO - CASA DE FORÇA'!H136</f>
        <v>22078.87</v>
      </c>
      <c r="D59" s="764"/>
      <c r="E59" s="765"/>
      <c r="F59" s="765"/>
      <c r="G59" s="766"/>
      <c r="H59" s="764"/>
      <c r="I59" s="765"/>
      <c r="J59" s="765"/>
      <c r="K59" s="766"/>
      <c r="L59" s="764">
        <v>0.28000000000000003</v>
      </c>
      <c r="M59" s="765"/>
      <c r="N59" s="765"/>
      <c r="O59" s="766"/>
      <c r="P59" s="764">
        <v>0.21</v>
      </c>
      <c r="Q59" s="765"/>
      <c r="R59" s="765"/>
      <c r="S59" s="766"/>
      <c r="T59" s="764">
        <v>0.19</v>
      </c>
      <c r="U59" s="765"/>
      <c r="V59" s="765"/>
      <c r="W59" s="766"/>
      <c r="X59" s="764">
        <v>0.32</v>
      </c>
      <c r="Y59" s="765"/>
      <c r="Z59" s="765"/>
      <c r="AA59" s="766"/>
      <c r="AB59" s="742">
        <f>C59/$C$77</f>
        <v>1.9699999999999999E-2</v>
      </c>
    </row>
    <row r="60" spans="1:29" ht="3.95" customHeight="1">
      <c r="A60" s="756"/>
      <c r="B60" s="759"/>
      <c r="C60" s="762"/>
      <c r="D60" s="769"/>
      <c r="E60" s="770"/>
      <c r="F60" s="770"/>
      <c r="G60" s="771"/>
      <c r="H60" s="769"/>
      <c r="I60" s="770"/>
      <c r="J60" s="770"/>
      <c r="K60" s="771"/>
      <c r="L60" s="743"/>
      <c r="M60" s="744"/>
      <c r="N60" s="744"/>
      <c r="O60" s="745"/>
      <c r="P60" s="743"/>
      <c r="Q60" s="744"/>
      <c r="R60" s="744"/>
      <c r="S60" s="745"/>
      <c r="T60" s="743"/>
      <c r="U60" s="744"/>
      <c r="V60" s="744"/>
      <c r="W60" s="745"/>
      <c r="X60" s="743"/>
      <c r="Y60" s="744"/>
      <c r="Z60" s="744"/>
      <c r="AA60" s="745"/>
      <c r="AB60" s="742"/>
    </row>
    <row r="61" spans="1:29" ht="11.1" customHeight="1">
      <c r="A61" s="757"/>
      <c r="B61" s="760"/>
      <c r="C61" s="763"/>
      <c r="D61" s="746"/>
      <c r="E61" s="747"/>
      <c r="F61" s="747"/>
      <c r="G61" s="748"/>
      <c r="H61" s="746">
        <f>$C59*H59</f>
        <v>0</v>
      </c>
      <c r="I61" s="747"/>
      <c r="J61" s="747"/>
      <c r="K61" s="748"/>
      <c r="L61" s="746">
        <f>$C59*L59</f>
        <v>6182.08</v>
      </c>
      <c r="M61" s="747"/>
      <c r="N61" s="747"/>
      <c r="O61" s="748"/>
      <c r="P61" s="746">
        <f>$C59*P59</f>
        <v>4636.5600000000004</v>
      </c>
      <c r="Q61" s="747"/>
      <c r="R61" s="747"/>
      <c r="S61" s="748"/>
      <c r="T61" s="746">
        <f>$C59*T59</f>
        <v>4194.99</v>
      </c>
      <c r="U61" s="747"/>
      <c r="V61" s="747"/>
      <c r="W61" s="748"/>
      <c r="X61" s="746">
        <f>$C59*X59</f>
        <v>7065.24</v>
      </c>
      <c r="Y61" s="747"/>
      <c r="Z61" s="747"/>
      <c r="AA61" s="748"/>
      <c r="AB61" s="742"/>
      <c r="AC61" s="335">
        <f>SUM(D61:AA61)</f>
        <v>22078.87</v>
      </c>
    </row>
    <row r="62" spans="1:29" ht="11.1" customHeight="1">
      <c r="A62" s="755">
        <v>14</v>
      </c>
      <c r="B62" s="758" t="str">
        <f>'ORÇAMENTO - CASA DE FORÇA'!B137</f>
        <v>SERVIÇOS DIVERSOS</v>
      </c>
      <c r="C62" s="761">
        <f>'ORÇAMENTO - CASA DE FORÇA'!H142</f>
        <v>7297.79</v>
      </c>
      <c r="D62" s="746"/>
      <c r="E62" s="747"/>
      <c r="F62" s="747"/>
      <c r="G62" s="748"/>
      <c r="H62" s="746"/>
      <c r="I62" s="747"/>
      <c r="J62" s="747"/>
      <c r="K62" s="748"/>
      <c r="L62" s="746"/>
      <c r="M62" s="747"/>
      <c r="N62" s="747"/>
      <c r="O62" s="748"/>
      <c r="P62" s="746"/>
      <c r="Q62" s="747"/>
      <c r="R62" s="747"/>
      <c r="S62" s="748"/>
      <c r="T62" s="764"/>
      <c r="U62" s="765"/>
      <c r="V62" s="765"/>
      <c r="W62" s="766"/>
      <c r="X62" s="764">
        <v>1</v>
      </c>
      <c r="Y62" s="765"/>
      <c r="Z62" s="765"/>
      <c r="AA62" s="766"/>
      <c r="AB62" s="742">
        <f>C62/$C$77</f>
        <v>6.4999999999999997E-3</v>
      </c>
    </row>
    <row r="63" spans="1:29" ht="5.25" customHeight="1">
      <c r="A63" s="756"/>
      <c r="B63" s="759"/>
      <c r="C63" s="762"/>
      <c r="D63" s="746"/>
      <c r="E63" s="747"/>
      <c r="F63" s="747"/>
      <c r="G63" s="748"/>
      <c r="H63" s="746"/>
      <c r="I63" s="747"/>
      <c r="J63" s="747"/>
      <c r="K63" s="748"/>
      <c r="L63" s="746"/>
      <c r="M63" s="747"/>
      <c r="N63" s="747"/>
      <c r="O63" s="748"/>
      <c r="P63" s="746"/>
      <c r="Q63" s="747"/>
      <c r="R63" s="747"/>
      <c r="S63" s="748"/>
      <c r="T63" s="746"/>
      <c r="U63" s="747"/>
      <c r="V63" s="747"/>
      <c r="W63" s="748"/>
      <c r="X63" s="743"/>
      <c r="Y63" s="744"/>
      <c r="Z63" s="744"/>
      <c r="AA63" s="745"/>
      <c r="AB63" s="742"/>
    </row>
    <row r="64" spans="1:29" ht="11.1" customHeight="1">
      <c r="A64" s="757"/>
      <c r="B64" s="760"/>
      <c r="C64" s="763"/>
      <c r="D64" s="746"/>
      <c r="E64" s="747"/>
      <c r="F64" s="747"/>
      <c r="G64" s="748"/>
      <c r="H64" s="746"/>
      <c r="I64" s="747"/>
      <c r="J64" s="747"/>
      <c r="K64" s="748"/>
      <c r="L64" s="746"/>
      <c r="M64" s="747"/>
      <c r="N64" s="747"/>
      <c r="O64" s="748"/>
      <c r="P64" s="746"/>
      <c r="Q64" s="747"/>
      <c r="R64" s="747"/>
      <c r="S64" s="748"/>
      <c r="T64" s="746"/>
      <c r="U64" s="747"/>
      <c r="V64" s="747"/>
      <c r="W64" s="748"/>
      <c r="X64" s="746">
        <f>$C62*X62</f>
        <v>7297.79</v>
      </c>
      <c r="Y64" s="747"/>
      <c r="Z64" s="747"/>
      <c r="AA64" s="748"/>
      <c r="AB64" s="742"/>
      <c r="AC64" s="335">
        <f>SUM(D64:AA64)</f>
        <v>7297.79</v>
      </c>
    </row>
    <row r="65" spans="1:29" ht="11.1" customHeight="1">
      <c r="A65" s="755">
        <v>15</v>
      </c>
      <c r="B65" s="758" t="str">
        <f>'ORÇAMENTO - CASA DE FORÇA'!B143</f>
        <v xml:space="preserve">SISTEMA DE COMBATE A INCÊNDIO </v>
      </c>
      <c r="C65" s="761">
        <f>'ORÇAMENTO - CASA DE FORÇA'!H147</f>
        <v>2075.75</v>
      </c>
      <c r="D65" s="746"/>
      <c r="E65" s="747"/>
      <c r="F65" s="747"/>
      <c r="G65" s="748"/>
      <c r="H65" s="746"/>
      <c r="I65" s="747"/>
      <c r="J65" s="747"/>
      <c r="K65" s="748"/>
      <c r="L65" s="746"/>
      <c r="M65" s="747"/>
      <c r="N65" s="747"/>
      <c r="O65" s="748"/>
      <c r="P65" s="746"/>
      <c r="Q65" s="747"/>
      <c r="R65" s="747"/>
      <c r="S65" s="748"/>
      <c r="T65" s="764">
        <v>1</v>
      </c>
      <c r="U65" s="765"/>
      <c r="V65" s="765"/>
      <c r="W65" s="766"/>
      <c r="X65" s="764"/>
      <c r="Y65" s="765"/>
      <c r="Z65" s="765"/>
      <c r="AA65" s="766"/>
      <c r="AB65" s="742">
        <f>C65/$C$77</f>
        <v>1.9E-3</v>
      </c>
    </row>
    <row r="66" spans="1:29" ht="4.5" customHeight="1">
      <c r="A66" s="756"/>
      <c r="B66" s="759"/>
      <c r="C66" s="762"/>
      <c r="D66" s="746"/>
      <c r="E66" s="747"/>
      <c r="F66" s="747"/>
      <c r="G66" s="748"/>
      <c r="H66" s="746"/>
      <c r="I66" s="747"/>
      <c r="J66" s="747"/>
      <c r="K66" s="748"/>
      <c r="L66" s="746"/>
      <c r="M66" s="747"/>
      <c r="N66" s="747"/>
      <c r="O66" s="748"/>
      <c r="P66" s="746"/>
      <c r="Q66" s="747"/>
      <c r="R66" s="747"/>
      <c r="S66" s="748"/>
      <c r="T66" s="743"/>
      <c r="U66" s="744"/>
      <c r="V66" s="744"/>
      <c r="W66" s="745"/>
      <c r="X66" s="769"/>
      <c r="Y66" s="770"/>
      <c r="Z66" s="770"/>
      <c r="AA66" s="771"/>
      <c r="AB66" s="742"/>
    </row>
    <row r="67" spans="1:29" ht="11.1" customHeight="1">
      <c r="A67" s="757"/>
      <c r="B67" s="760"/>
      <c r="C67" s="763"/>
      <c r="D67" s="746"/>
      <c r="E67" s="747"/>
      <c r="F67" s="747"/>
      <c r="G67" s="748"/>
      <c r="H67" s="746"/>
      <c r="I67" s="747"/>
      <c r="J67" s="747"/>
      <c r="K67" s="748"/>
      <c r="L67" s="746"/>
      <c r="M67" s="747"/>
      <c r="N67" s="747"/>
      <c r="O67" s="748"/>
      <c r="P67" s="746"/>
      <c r="Q67" s="747"/>
      <c r="R67" s="747"/>
      <c r="S67" s="748"/>
      <c r="T67" s="746">
        <f>$C65*T65</f>
        <v>2075.75</v>
      </c>
      <c r="U67" s="747"/>
      <c r="V67" s="747"/>
      <c r="W67" s="748"/>
      <c r="X67" s="746"/>
      <c r="Y67" s="747"/>
      <c r="Z67" s="747"/>
      <c r="AA67" s="748"/>
      <c r="AB67" s="742"/>
      <c r="AC67" s="335">
        <f>SUM(D67:AA67)</f>
        <v>2075.75</v>
      </c>
    </row>
    <row r="68" spans="1:29" ht="11.1" customHeight="1">
      <c r="A68" s="755">
        <v>16</v>
      </c>
      <c r="B68" s="758" t="str">
        <f>'ORÇAMENTO - CASA DE FORÇA'!B148</f>
        <v>SERVIÇOS COMPLEMENTARES</v>
      </c>
      <c r="C68" s="761">
        <f>'ORÇAMENTO - CASA DE FORÇA'!H151</f>
        <v>3069.89</v>
      </c>
      <c r="D68" s="764"/>
      <c r="E68" s="765"/>
      <c r="F68" s="765"/>
      <c r="G68" s="766"/>
      <c r="H68" s="764"/>
      <c r="I68" s="765"/>
      <c r="J68" s="765"/>
      <c r="K68" s="766"/>
      <c r="L68" s="764"/>
      <c r="M68" s="765"/>
      <c r="N68" s="765"/>
      <c r="O68" s="766"/>
      <c r="P68" s="764"/>
      <c r="Q68" s="765"/>
      <c r="R68" s="765"/>
      <c r="S68" s="766"/>
      <c r="T68" s="764"/>
      <c r="U68" s="765"/>
      <c r="V68" s="765"/>
      <c r="W68" s="766"/>
      <c r="X68" s="764">
        <v>1</v>
      </c>
      <c r="Y68" s="765"/>
      <c r="Z68" s="765"/>
      <c r="AA68" s="766"/>
      <c r="AB68" s="742">
        <f>C68/$C$77</f>
        <v>2.7000000000000001E-3</v>
      </c>
    </row>
    <row r="69" spans="1:29" ht="3.95" customHeight="1">
      <c r="A69" s="756"/>
      <c r="B69" s="759"/>
      <c r="C69" s="762"/>
      <c r="D69" s="769"/>
      <c r="E69" s="770"/>
      <c r="F69" s="770"/>
      <c r="G69" s="771"/>
      <c r="H69" s="769"/>
      <c r="I69" s="770"/>
      <c r="J69" s="770"/>
      <c r="K69" s="771"/>
      <c r="L69" s="769"/>
      <c r="M69" s="770"/>
      <c r="N69" s="770"/>
      <c r="O69" s="771"/>
      <c r="P69" s="769"/>
      <c r="Q69" s="770"/>
      <c r="R69" s="770"/>
      <c r="S69" s="771"/>
      <c r="T69" s="784"/>
      <c r="U69" s="785"/>
      <c r="V69" s="785"/>
      <c r="W69" s="786"/>
      <c r="X69" s="743"/>
      <c r="Y69" s="744"/>
      <c r="Z69" s="744"/>
      <c r="AA69" s="745"/>
      <c r="AB69" s="742"/>
    </row>
    <row r="70" spans="1:29" ht="11.1" customHeight="1">
      <c r="A70" s="757"/>
      <c r="B70" s="760"/>
      <c r="C70" s="763"/>
      <c r="D70" s="746"/>
      <c r="E70" s="747"/>
      <c r="F70" s="747"/>
      <c r="G70" s="748"/>
      <c r="H70" s="746"/>
      <c r="I70" s="747"/>
      <c r="J70" s="747"/>
      <c r="K70" s="748"/>
      <c r="L70" s="746"/>
      <c r="M70" s="747"/>
      <c r="N70" s="747"/>
      <c r="O70" s="748"/>
      <c r="P70" s="746"/>
      <c r="Q70" s="747"/>
      <c r="R70" s="747"/>
      <c r="S70" s="748"/>
      <c r="T70" s="746"/>
      <c r="U70" s="747"/>
      <c r="V70" s="747"/>
      <c r="W70" s="748"/>
      <c r="X70" s="746">
        <f>X68*C68</f>
        <v>3069.89</v>
      </c>
      <c r="Y70" s="747"/>
      <c r="Z70" s="747"/>
      <c r="AA70" s="748"/>
      <c r="AB70" s="742"/>
      <c r="AC70" s="335">
        <f>SUM(D70:AA70)</f>
        <v>3069.89</v>
      </c>
    </row>
    <row r="71" spans="1:29" ht="11.1" customHeight="1">
      <c r="A71" s="755">
        <v>17</v>
      </c>
      <c r="B71" s="758" t="str">
        <f>'ORÇAMENTO - CASA DE FORÇA'!B152</f>
        <v>EQUIPAMENTOS DE AR CONDICIONADO</v>
      </c>
      <c r="C71" s="761">
        <f>'ORÇAMENTO - CASA DE FORÇA'!H154</f>
        <v>5404.77</v>
      </c>
      <c r="D71" s="764"/>
      <c r="E71" s="765"/>
      <c r="F71" s="765"/>
      <c r="G71" s="766"/>
      <c r="H71" s="764"/>
      <c r="I71" s="765"/>
      <c r="J71" s="765"/>
      <c r="K71" s="766"/>
      <c r="L71" s="764"/>
      <c r="M71" s="765"/>
      <c r="N71" s="765"/>
      <c r="O71" s="766"/>
      <c r="P71" s="764"/>
      <c r="Q71" s="765"/>
      <c r="R71" s="765"/>
      <c r="S71" s="766"/>
      <c r="T71" s="764">
        <v>1</v>
      </c>
      <c r="U71" s="765"/>
      <c r="V71" s="765"/>
      <c r="W71" s="766"/>
      <c r="X71" s="764"/>
      <c r="Y71" s="765"/>
      <c r="Z71" s="765"/>
      <c r="AA71" s="766"/>
      <c r="AB71" s="742">
        <f>C71/$C$77</f>
        <v>4.7999999999999996E-3</v>
      </c>
    </row>
    <row r="72" spans="1:29" ht="3.95" customHeight="1">
      <c r="A72" s="756"/>
      <c r="B72" s="759"/>
      <c r="C72" s="762"/>
      <c r="D72" s="769"/>
      <c r="E72" s="770"/>
      <c r="F72" s="770"/>
      <c r="G72" s="771"/>
      <c r="H72" s="769"/>
      <c r="I72" s="770"/>
      <c r="J72" s="770"/>
      <c r="K72" s="771"/>
      <c r="L72" s="769"/>
      <c r="M72" s="770"/>
      <c r="N72" s="770"/>
      <c r="O72" s="771"/>
      <c r="P72" s="769"/>
      <c r="Q72" s="770"/>
      <c r="R72" s="770"/>
      <c r="S72" s="771"/>
      <c r="T72" s="743"/>
      <c r="U72" s="744"/>
      <c r="V72" s="744"/>
      <c r="W72" s="745"/>
      <c r="X72" s="769"/>
      <c r="Y72" s="770"/>
      <c r="Z72" s="770"/>
      <c r="AA72" s="771"/>
      <c r="AB72" s="742"/>
    </row>
    <row r="73" spans="1:29" ht="11.1" customHeight="1">
      <c r="A73" s="757"/>
      <c r="B73" s="760"/>
      <c r="C73" s="763"/>
      <c r="D73" s="746"/>
      <c r="E73" s="747"/>
      <c r="F73" s="747"/>
      <c r="G73" s="748"/>
      <c r="H73" s="746"/>
      <c r="I73" s="747"/>
      <c r="J73" s="747"/>
      <c r="K73" s="748"/>
      <c r="L73" s="746"/>
      <c r="M73" s="747"/>
      <c r="N73" s="747"/>
      <c r="O73" s="748"/>
      <c r="P73" s="746"/>
      <c r="Q73" s="747"/>
      <c r="R73" s="747"/>
      <c r="S73" s="748"/>
      <c r="T73" s="746">
        <f>$C71*T71</f>
        <v>5404.77</v>
      </c>
      <c r="U73" s="747"/>
      <c r="V73" s="747"/>
      <c r="W73" s="748"/>
      <c r="X73" s="746">
        <f>$C71*X71</f>
        <v>0</v>
      </c>
      <c r="Y73" s="747"/>
      <c r="Z73" s="747"/>
      <c r="AA73" s="748"/>
      <c r="AB73" s="742"/>
      <c r="AC73" s="335">
        <f>SUM(D73:AA73)</f>
        <v>5404.77</v>
      </c>
    </row>
    <row r="74" spans="1:29" ht="11.1" customHeight="1">
      <c r="A74" s="755">
        <v>18</v>
      </c>
      <c r="B74" s="758" t="str">
        <f>'ORÇAMENTO - CASA DE FORÇA'!B155</f>
        <v>BALIZAMENTO DA PISTA DE POUSO/DECOLAGEM E TAXIAMENTO</v>
      </c>
      <c r="C74" s="761">
        <f>'ORÇAMENTO - CASA DE FORÇA'!H175</f>
        <v>631936.12</v>
      </c>
      <c r="D74" s="764">
        <v>0.1</v>
      </c>
      <c r="E74" s="765"/>
      <c r="F74" s="765"/>
      <c r="G74" s="766"/>
      <c r="H74" s="764">
        <v>0.1</v>
      </c>
      <c r="I74" s="765"/>
      <c r="J74" s="765"/>
      <c r="K74" s="766"/>
      <c r="L74" s="764">
        <v>0.15</v>
      </c>
      <c r="M74" s="765"/>
      <c r="N74" s="765"/>
      <c r="O74" s="766"/>
      <c r="P74" s="764">
        <v>0.25</v>
      </c>
      <c r="Q74" s="765"/>
      <c r="R74" s="765"/>
      <c r="S74" s="766"/>
      <c r="T74" s="764">
        <v>0.2</v>
      </c>
      <c r="U74" s="765"/>
      <c r="V74" s="765"/>
      <c r="W74" s="766"/>
      <c r="X74" s="764">
        <v>0.2</v>
      </c>
      <c r="Y74" s="765"/>
      <c r="Z74" s="765"/>
      <c r="AA74" s="766"/>
      <c r="AB74" s="742">
        <f>C74/$C$77</f>
        <v>0.56410000000000005</v>
      </c>
    </row>
    <row r="75" spans="1:29" ht="3.95" customHeight="1">
      <c r="A75" s="756"/>
      <c r="B75" s="759"/>
      <c r="C75" s="762"/>
      <c r="D75" s="743"/>
      <c r="E75" s="744"/>
      <c r="F75" s="744"/>
      <c r="G75" s="745"/>
      <c r="H75" s="743"/>
      <c r="I75" s="744"/>
      <c r="J75" s="744"/>
      <c r="K75" s="745"/>
      <c r="L75" s="743"/>
      <c r="M75" s="744"/>
      <c r="N75" s="744"/>
      <c r="O75" s="745"/>
      <c r="P75" s="743"/>
      <c r="Q75" s="744"/>
      <c r="R75" s="744"/>
      <c r="S75" s="745"/>
      <c r="T75" s="743"/>
      <c r="U75" s="744"/>
      <c r="V75" s="744"/>
      <c r="W75" s="745"/>
      <c r="X75" s="743"/>
      <c r="Y75" s="744"/>
      <c r="Z75" s="744"/>
      <c r="AA75" s="745"/>
      <c r="AB75" s="742"/>
    </row>
    <row r="76" spans="1:29" ht="11.1" customHeight="1">
      <c r="A76" s="757"/>
      <c r="B76" s="760"/>
      <c r="C76" s="763"/>
      <c r="D76" s="746">
        <f>$C74*D74</f>
        <v>63193.61</v>
      </c>
      <c r="E76" s="747"/>
      <c r="F76" s="747"/>
      <c r="G76" s="748"/>
      <c r="H76" s="746">
        <f>$C74*H74</f>
        <v>63193.61</v>
      </c>
      <c r="I76" s="747"/>
      <c r="J76" s="747"/>
      <c r="K76" s="748"/>
      <c r="L76" s="746">
        <f>$C74*L74</f>
        <v>94790.42</v>
      </c>
      <c r="M76" s="747"/>
      <c r="N76" s="747"/>
      <c r="O76" s="748"/>
      <c r="P76" s="746">
        <f>$C74*P74</f>
        <v>157984.03</v>
      </c>
      <c r="Q76" s="747"/>
      <c r="R76" s="747"/>
      <c r="S76" s="748"/>
      <c r="T76" s="746">
        <f>T74*C74</f>
        <v>126387.22</v>
      </c>
      <c r="U76" s="747"/>
      <c r="V76" s="747"/>
      <c r="W76" s="748"/>
      <c r="X76" s="746">
        <f>X74*C74</f>
        <v>126387.22</v>
      </c>
      <c r="Y76" s="747"/>
      <c r="Z76" s="747"/>
      <c r="AA76" s="748"/>
      <c r="AB76" s="742"/>
      <c r="AC76" s="335">
        <f>SUM(D76:AA76)</f>
        <v>631936.11</v>
      </c>
    </row>
    <row r="77" spans="1:29" ht="15" customHeight="1">
      <c r="A77" s="767" t="s">
        <v>483</v>
      </c>
      <c r="B77" s="768"/>
      <c r="C77" s="301">
        <f>SUM(C23:C76)</f>
        <v>1120349.9099999999</v>
      </c>
      <c r="D77" s="749">
        <f>D25+D31+D34+D37+D40+D43+D46+D49+D52+D55+D58+D61+D64+D67+D70+D73</f>
        <v>8182.02</v>
      </c>
      <c r="E77" s="750"/>
      <c r="F77" s="750"/>
      <c r="G77" s="751"/>
      <c r="H77" s="749">
        <f>H25+H28+H31+H34+H37+H40+H43+H46+H49+H52+H55+H58+H61+H64+H67+H70+H73</f>
        <v>41502.519999999997</v>
      </c>
      <c r="I77" s="750"/>
      <c r="J77" s="750"/>
      <c r="K77" s="751"/>
      <c r="L77" s="749">
        <f>L25+L28+L31+L34+L37+L40+L43+L46+L49+L52+L55+L58+L61+L64+L67+L70+L73+L76</f>
        <v>209534.91</v>
      </c>
      <c r="M77" s="750"/>
      <c r="N77" s="750"/>
      <c r="O77" s="751"/>
      <c r="P77" s="749">
        <f>P25+D28+P31+P34+P37+P40+P43+P46+P49+P52+P55+P58+P61+P64+P67+P70+P73+P76</f>
        <v>334442.27</v>
      </c>
      <c r="Q77" s="750"/>
      <c r="R77" s="750"/>
      <c r="S77" s="751"/>
      <c r="T77" s="749">
        <f>T25+T28+T31+T34+T37+T40+T43+T46+T49+T52+T55+T58+T61+T64+T67+X70+T73+T76</f>
        <v>225509.03</v>
      </c>
      <c r="U77" s="750"/>
      <c r="V77" s="750"/>
      <c r="W77" s="751"/>
      <c r="X77" s="749">
        <f>X25+X28+X31+X34+X37+X40+X43+X46+X49+X52+X55+X58+X61+X64+X67+AB70+X73+X76</f>
        <v>174791.93</v>
      </c>
      <c r="Y77" s="750"/>
      <c r="Z77" s="750"/>
      <c r="AA77" s="751"/>
      <c r="AB77" s="302">
        <f>SUM(AB23:AB76)</f>
        <v>1</v>
      </c>
    </row>
    <row r="78" spans="1:29" ht="15" customHeight="1">
      <c r="A78" s="767" t="s">
        <v>484</v>
      </c>
      <c r="B78" s="768"/>
      <c r="C78" s="303">
        <v>1</v>
      </c>
      <c r="D78" s="752">
        <f>D77/$C77</f>
        <v>7.3000000000000001E-3</v>
      </c>
      <c r="E78" s="753"/>
      <c r="F78" s="753"/>
      <c r="G78" s="754"/>
      <c r="H78" s="752">
        <f>H77/$C77</f>
        <v>3.6999999999999998E-2</v>
      </c>
      <c r="I78" s="753"/>
      <c r="J78" s="753"/>
      <c r="K78" s="754"/>
      <c r="L78" s="752">
        <f>L77/$C77</f>
        <v>0.187</v>
      </c>
      <c r="M78" s="753"/>
      <c r="N78" s="753"/>
      <c r="O78" s="754"/>
      <c r="P78" s="752">
        <f>P77/$C77</f>
        <v>0.29849999999999999</v>
      </c>
      <c r="Q78" s="753"/>
      <c r="R78" s="753"/>
      <c r="S78" s="754"/>
      <c r="T78" s="752">
        <f>T77/$C77</f>
        <v>0.20130000000000001</v>
      </c>
      <c r="U78" s="753"/>
      <c r="V78" s="753"/>
      <c r="W78" s="754"/>
      <c r="X78" s="752">
        <f>X77/$C77</f>
        <v>0.156</v>
      </c>
      <c r="Y78" s="753"/>
      <c r="Z78" s="753"/>
      <c r="AA78" s="754"/>
      <c r="AB78" s="304">
        <f>D78+H78+L78+P78+T78+X78</f>
        <v>0.88700000000000001</v>
      </c>
      <c r="AC78" s="295">
        <f>SUM(AC23:AC76)</f>
        <v>1120349.8999999999</v>
      </c>
    </row>
    <row r="79" spans="1:29" ht="12.75" customHeight="1"/>
    <row r="81" ht="15.75" customHeight="1"/>
    <row r="84" ht="15.75" customHeight="1"/>
    <row r="86" ht="15.75" customHeight="1"/>
    <row r="88" ht="15.75" customHeight="1"/>
    <row r="113" ht="15.75" customHeight="1"/>
    <row r="119" ht="15.75" customHeight="1"/>
    <row r="137" ht="15.75" customHeight="1"/>
  </sheetData>
  <mergeCells count="433">
    <mergeCell ref="X71:AA71"/>
    <mergeCell ref="X72:AA72"/>
    <mergeCell ref="X73:AA73"/>
    <mergeCell ref="B16:C17"/>
    <mergeCell ref="D16:G17"/>
    <mergeCell ref="H16:K17"/>
    <mergeCell ref="T23:W23"/>
    <mergeCell ref="T25:W25"/>
    <mergeCell ref="P16:S17"/>
    <mergeCell ref="T16:W17"/>
    <mergeCell ref="L25:O25"/>
    <mergeCell ref="P25:S25"/>
    <mergeCell ref="P23:S23"/>
    <mergeCell ref="A23:A25"/>
    <mergeCell ref="B23:B25"/>
    <mergeCell ref="C23:C25"/>
    <mergeCell ref="D23:G23"/>
    <mergeCell ref="H23:K23"/>
    <mergeCell ref="L23:O23"/>
    <mergeCell ref="L26:O26"/>
    <mergeCell ref="L28:O28"/>
    <mergeCell ref="A7:AB7"/>
    <mergeCell ref="A8:AB8"/>
    <mergeCell ref="A9:AB9"/>
    <mergeCell ref="A11:AB11"/>
    <mergeCell ref="A13:AB13"/>
    <mergeCell ref="A16:A22"/>
    <mergeCell ref="AB16:AB22"/>
    <mergeCell ref="B18:B20"/>
    <mergeCell ref="B21:B22"/>
    <mergeCell ref="C21:C22"/>
    <mergeCell ref="L16:O17"/>
    <mergeCell ref="L21:O21"/>
    <mergeCell ref="P21:S21"/>
    <mergeCell ref="D21:G21"/>
    <mergeCell ref="H21:K21"/>
    <mergeCell ref="T21:W21"/>
    <mergeCell ref="AB23:AB25"/>
    <mergeCell ref="D24:G24"/>
    <mergeCell ref="H24:K24"/>
    <mergeCell ref="L24:O24"/>
    <mergeCell ref="P24:S24"/>
    <mergeCell ref="T24:W24"/>
    <mergeCell ref="D25:G25"/>
    <mergeCell ref="H25:K25"/>
    <mergeCell ref="D28:G28"/>
    <mergeCell ref="T28:W28"/>
    <mergeCell ref="T27:W27"/>
    <mergeCell ref="P26:S26"/>
    <mergeCell ref="T26:W26"/>
    <mergeCell ref="AB26:AB28"/>
    <mergeCell ref="D27:G27"/>
    <mergeCell ref="H27:K27"/>
    <mergeCell ref="L27:O27"/>
    <mergeCell ref="P27:S27"/>
    <mergeCell ref="A29:A31"/>
    <mergeCell ref="B29:B31"/>
    <mergeCell ref="C29:C31"/>
    <mergeCell ref="D29:G29"/>
    <mergeCell ref="H29:K29"/>
    <mergeCell ref="L29:O29"/>
    <mergeCell ref="P29:S29"/>
    <mergeCell ref="T29:W29"/>
    <mergeCell ref="H28:K28"/>
    <mergeCell ref="A26:A28"/>
    <mergeCell ref="B26:B28"/>
    <mergeCell ref="C26:C28"/>
    <mergeCell ref="D26:G26"/>
    <mergeCell ref="H26:K26"/>
    <mergeCell ref="P28:S28"/>
    <mergeCell ref="AB29:AB31"/>
    <mergeCell ref="D30:G30"/>
    <mergeCell ref="H30:K30"/>
    <mergeCell ref="L30:O30"/>
    <mergeCell ref="P30:S30"/>
    <mergeCell ref="T30:W30"/>
    <mergeCell ref="D31:G31"/>
    <mergeCell ref="H31:K31"/>
    <mergeCell ref="L34:O34"/>
    <mergeCell ref="P34:S34"/>
    <mergeCell ref="T31:W31"/>
    <mergeCell ref="AB32:AB34"/>
    <mergeCell ref="T33:W33"/>
    <mergeCell ref="L31:O31"/>
    <mergeCell ref="P31:S31"/>
    <mergeCell ref="X30:AA30"/>
    <mergeCell ref="X31:AA31"/>
    <mergeCell ref="X32:AA32"/>
    <mergeCell ref="X33:AA33"/>
    <mergeCell ref="X34:AA34"/>
    <mergeCell ref="AB35:AB37"/>
    <mergeCell ref="D36:G36"/>
    <mergeCell ref="H36:K36"/>
    <mergeCell ref="L36:O36"/>
    <mergeCell ref="P36:S36"/>
    <mergeCell ref="T36:W36"/>
    <mergeCell ref="A32:A34"/>
    <mergeCell ref="B32:B34"/>
    <mergeCell ref="C32:C34"/>
    <mergeCell ref="D32:G32"/>
    <mergeCell ref="H32:K32"/>
    <mergeCell ref="L32:O32"/>
    <mergeCell ref="P32:S32"/>
    <mergeCell ref="L35:O35"/>
    <mergeCell ref="L37:O37"/>
    <mergeCell ref="D33:G33"/>
    <mergeCell ref="H33:K33"/>
    <mergeCell ref="L33:O33"/>
    <mergeCell ref="P33:S33"/>
    <mergeCell ref="D34:G34"/>
    <mergeCell ref="H34:K34"/>
    <mergeCell ref="D37:G37"/>
    <mergeCell ref="T32:W32"/>
    <mergeCell ref="T34:W34"/>
    <mergeCell ref="P37:S37"/>
    <mergeCell ref="T37:W37"/>
    <mergeCell ref="A38:A40"/>
    <mergeCell ref="B38:B40"/>
    <mergeCell ref="C38:C40"/>
    <mergeCell ref="D38:G38"/>
    <mergeCell ref="H38:K38"/>
    <mergeCell ref="L38:O38"/>
    <mergeCell ref="P38:S38"/>
    <mergeCell ref="T38:W38"/>
    <mergeCell ref="H37:K37"/>
    <mergeCell ref="A35:A37"/>
    <mergeCell ref="B35:B37"/>
    <mergeCell ref="C35:C37"/>
    <mergeCell ref="D35:G35"/>
    <mergeCell ref="H35:K35"/>
    <mergeCell ref="P35:S35"/>
    <mergeCell ref="T35:W35"/>
    <mergeCell ref="AB38:AB40"/>
    <mergeCell ref="D39:G39"/>
    <mergeCell ref="H39:K39"/>
    <mergeCell ref="L39:O39"/>
    <mergeCell ref="P39:S39"/>
    <mergeCell ref="T39:W39"/>
    <mergeCell ref="D40:G40"/>
    <mergeCell ref="H40:K40"/>
    <mergeCell ref="L43:O43"/>
    <mergeCell ref="P43:S43"/>
    <mergeCell ref="T40:W40"/>
    <mergeCell ref="AB41:AB43"/>
    <mergeCell ref="T42:W42"/>
    <mergeCell ref="L40:O40"/>
    <mergeCell ref="P40:S40"/>
    <mergeCell ref="AB44:AB46"/>
    <mergeCell ref="D45:G45"/>
    <mergeCell ref="H45:K45"/>
    <mergeCell ref="L45:O45"/>
    <mergeCell ref="P45:S45"/>
    <mergeCell ref="T45:W45"/>
    <mergeCell ref="A41:A43"/>
    <mergeCell ref="B41:B43"/>
    <mergeCell ref="C41:C43"/>
    <mergeCell ref="D41:G41"/>
    <mergeCell ref="H41:K41"/>
    <mergeCell ref="L41:O41"/>
    <mergeCell ref="P41:S41"/>
    <mergeCell ref="L44:O44"/>
    <mergeCell ref="L46:O46"/>
    <mergeCell ref="D42:G42"/>
    <mergeCell ref="H42:K42"/>
    <mergeCell ref="L42:O42"/>
    <mergeCell ref="P42:S42"/>
    <mergeCell ref="D43:G43"/>
    <mergeCell ref="H43:K43"/>
    <mergeCell ref="D46:G46"/>
    <mergeCell ref="T41:W41"/>
    <mergeCell ref="T43:W43"/>
    <mergeCell ref="P46:S46"/>
    <mergeCell ref="T46:W46"/>
    <mergeCell ref="A47:A49"/>
    <mergeCell ref="B47:B49"/>
    <mergeCell ref="C47:C49"/>
    <mergeCell ref="D47:G47"/>
    <mergeCell ref="H47:K47"/>
    <mergeCell ref="L47:O47"/>
    <mergeCell ref="P47:S47"/>
    <mergeCell ref="T47:W47"/>
    <mergeCell ref="H46:K46"/>
    <mergeCell ref="A44:A46"/>
    <mergeCell ref="B44:B46"/>
    <mergeCell ref="C44:C46"/>
    <mergeCell ref="D44:G44"/>
    <mergeCell ref="H44:K44"/>
    <mergeCell ref="P44:S44"/>
    <mergeCell ref="T44:W44"/>
    <mergeCell ref="AB47:AB49"/>
    <mergeCell ref="D48:G48"/>
    <mergeCell ref="H48:K48"/>
    <mergeCell ref="L48:O48"/>
    <mergeCell ref="P48:S48"/>
    <mergeCell ref="T48:W48"/>
    <mergeCell ref="D49:G49"/>
    <mergeCell ref="H49:K49"/>
    <mergeCell ref="L52:O52"/>
    <mergeCell ref="P52:S52"/>
    <mergeCell ref="T49:W49"/>
    <mergeCell ref="AB50:AB52"/>
    <mergeCell ref="T51:W51"/>
    <mergeCell ref="L49:O49"/>
    <mergeCell ref="P49:S49"/>
    <mergeCell ref="AB53:AB55"/>
    <mergeCell ref="D54:G54"/>
    <mergeCell ref="H54:K54"/>
    <mergeCell ref="L54:O54"/>
    <mergeCell ref="P54:S54"/>
    <mergeCell ref="T54:W54"/>
    <mergeCell ref="A50:A52"/>
    <mergeCell ref="B50:B52"/>
    <mergeCell ref="C50:C52"/>
    <mergeCell ref="D50:G50"/>
    <mergeCell ref="H50:K50"/>
    <mergeCell ref="L50:O50"/>
    <mergeCell ref="P50:S50"/>
    <mergeCell ref="L53:O53"/>
    <mergeCell ref="L55:O55"/>
    <mergeCell ref="D51:G51"/>
    <mergeCell ref="H51:K51"/>
    <mergeCell ref="L51:O51"/>
    <mergeCell ref="P51:S51"/>
    <mergeCell ref="D52:G52"/>
    <mergeCell ref="H52:K52"/>
    <mergeCell ref="D55:G55"/>
    <mergeCell ref="T50:W50"/>
    <mergeCell ref="T52:W52"/>
    <mergeCell ref="P55:S55"/>
    <mergeCell ref="T55:W55"/>
    <mergeCell ref="A56:A58"/>
    <mergeCell ref="B56:B58"/>
    <mergeCell ref="C56:C58"/>
    <mergeCell ref="D56:G56"/>
    <mergeCell ref="H56:K56"/>
    <mergeCell ref="L56:O56"/>
    <mergeCell ref="P56:S56"/>
    <mergeCell ref="T56:W56"/>
    <mergeCell ref="H55:K55"/>
    <mergeCell ref="A53:A55"/>
    <mergeCell ref="B53:B55"/>
    <mergeCell ref="C53:C55"/>
    <mergeCell ref="D53:G53"/>
    <mergeCell ref="H53:K53"/>
    <mergeCell ref="P53:S53"/>
    <mergeCell ref="T53:W53"/>
    <mergeCell ref="T59:W59"/>
    <mergeCell ref="T61:W61"/>
    <mergeCell ref="AB56:AB58"/>
    <mergeCell ref="D57:G57"/>
    <mergeCell ref="H57:K57"/>
    <mergeCell ref="L57:O57"/>
    <mergeCell ref="P57:S57"/>
    <mergeCell ref="T57:W57"/>
    <mergeCell ref="D58:G58"/>
    <mergeCell ref="H58:K58"/>
    <mergeCell ref="L61:O61"/>
    <mergeCell ref="P61:S61"/>
    <mergeCell ref="T58:W58"/>
    <mergeCell ref="AB59:AB61"/>
    <mergeCell ref="T60:W60"/>
    <mergeCell ref="L58:O58"/>
    <mergeCell ref="P58:S58"/>
    <mergeCell ref="A59:A61"/>
    <mergeCell ref="B59:B61"/>
    <mergeCell ref="C59:C61"/>
    <mergeCell ref="D59:G59"/>
    <mergeCell ref="H59:K59"/>
    <mergeCell ref="L59:O59"/>
    <mergeCell ref="P59:S59"/>
    <mergeCell ref="A65:A67"/>
    <mergeCell ref="C65:C67"/>
    <mergeCell ref="D60:G60"/>
    <mergeCell ref="H60:K60"/>
    <mergeCell ref="L60:O60"/>
    <mergeCell ref="P60:S60"/>
    <mergeCell ref="D61:G61"/>
    <mergeCell ref="H61:K61"/>
    <mergeCell ref="A62:A64"/>
    <mergeCell ref="B62:B64"/>
    <mergeCell ref="C62:C64"/>
    <mergeCell ref="D62:G62"/>
    <mergeCell ref="H62:K62"/>
    <mergeCell ref="L62:O62"/>
    <mergeCell ref="L64:O64"/>
    <mergeCell ref="P62:S62"/>
    <mergeCell ref="B65:B67"/>
    <mergeCell ref="AB65:AB67"/>
    <mergeCell ref="T62:W62"/>
    <mergeCell ref="AB62:AB64"/>
    <mergeCell ref="D63:G63"/>
    <mergeCell ref="H63:K63"/>
    <mergeCell ref="L63:O63"/>
    <mergeCell ref="P63:S63"/>
    <mergeCell ref="T63:W63"/>
    <mergeCell ref="D64:G64"/>
    <mergeCell ref="H64:K64"/>
    <mergeCell ref="P64:S64"/>
    <mergeCell ref="T64:W64"/>
    <mergeCell ref="X62:AA62"/>
    <mergeCell ref="X63:AA63"/>
    <mergeCell ref="X64:AA64"/>
    <mergeCell ref="X65:AA65"/>
    <mergeCell ref="X66:AA66"/>
    <mergeCell ref="X67:AA67"/>
    <mergeCell ref="D65:G65"/>
    <mergeCell ref="D66:G66"/>
    <mergeCell ref="D67:G67"/>
    <mergeCell ref="H65:K65"/>
    <mergeCell ref="H66:K66"/>
    <mergeCell ref="H67:K67"/>
    <mergeCell ref="T71:W71"/>
    <mergeCell ref="T73:W73"/>
    <mergeCell ref="T69:W69"/>
    <mergeCell ref="T68:W68"/>
    <mergeCell ref="AB68:AB70"/>
    <mergeCell ref="D69:G69"/>
    <mergeCell ref="H69:K69"/>
    <mergeCell ref="L69:O69"/>
    <mergeCell ref="P69:S69"/>
    <mergeCell ref="X69:AA69"/>
    <mergeCell ref="D70:G70"/>
    <mergeCell ref="H70:K70"/>
    <mergeCell ref="L70:O70"/>
    <mergeCell ref="P70:S70"/>
    <mergeCell ref="X70:AA70"/>
    <mergeCell ref="X68:AA68"/>
    <mergeCell ref="T70:W70"/>
    <mergeCell ref="AB71:AB73"/>
    <mergeCell ref="D72:G72"/>
    <mergeCell ref="H72:K72"/>
    <mergeCell ref="L72:O72"/>
    <mergeCell ref="P72:S72"/>
    <mergeCell ref="T72:W72"/>
    <mergeCell ref="D73:G73"/>
    <mergeCell ref="B68:B70"/>
    <mergeCell ref="A71:A73"/>
    <mergeCell ref="B71:B73"/>
    <mergeCell ref="A68:A70"/>
    <mergeCell ref="C68:C70"/>
    <mergeCell ref="D68:G68"/>
    <mergeCell ref="H68:K68"/>
    <mergeCell ref="L68:O68"/>
    <mergeCell ref="P68:S68"/>
    <mergeCell ref="C71:C73"/>
    <mergeCell ref="D71:G71"/>
    <mergeCell ref="H71:K71"/>
    <mergeCell ref="L71:O71"/>
    <mergeCell ref="P71:S71"/>
    <mergeCell ref="H73:K73"/>
    <mergeCell ref="L73:O73"/>
    <mergeCell ref="P73:S73"/>
    <mergeCell ref="T65:W65"/>
    <mergeCell ref="T66:W66"/>
    <mergeCell ref="T67:W67"/>
    <mergeCell ref="L65:O65"/>
    <mergeCell ref="L66:O66"/>
    <mergeCell ref="L67:O67"/>
    <mergeCell ref="P65:S65"/>
    <mergeCell ref="P66:S66"/>
    <mergeCell ref="P67:S67"/>
    <mergeCell ref="X16:AA17"/>
    <mergeCell ref="X21:AA21"/>
    <mergeCell ref="X23:AA23"/>
    <mergeCell ref="X24:AA24"/>
    <mergeCell ref="X25:AA25"/>
    <mergeCell ref="X26:AA26"/>
    <mergeCell ref="X27:AA27"/>
    <mergeCell ref="X28:AA28"/>
    <mergeCell ref="X29:AA29"/>
    <mergeCell ref="X35:AA35"/>
    <mergeCell ref="X36:AA36"/>
    <mergeCell ref="X37:AA37"/>
    <mergeCell ref="X38:AA38"/>
    <mergeCell ref="X39:AA39"/>
    <mergeCell ref="X40:AA40"/>
    <mergeCell ref="X41:AA41"/>
    <mergeCell ref="X42:AA42"/>
    <mergeCell ref="X43:AA43"/>
    <mergeCell ref="X44:AA44"/>
    <mergeCell ref="X45:AA45"/>
    <mergeCell ref="X46:AA46"/>
    <mergeCell ref="X47:AA47"/>
    <mergeCell ref="X48:AA48"/>
    <mergeCell ref="X49:AA49"/>
    <mergeCell ref="X50:AA50"/>
    <mergeCell ref="X51:AA51"/>
    <mergeCell ref="X52:AA52"/>
    <mergeCell ref="X53:AA53"/>
    <mergeCell ref="X54:AA54"/>
    <mergeCell ref="X55:AA55"/>
    <mergeCell ref="X56:AA56"/>
    <mergeCell ref="X57:AA57"/>
    <mergeCell ref="X58:AA58"/>
    <mergeCell ref="X59:AA59"/>
    <mergeCell ref="X60:AA60"/>
    <mergeCell ref="X61:AA61"/>
    <mergeCell ref="X77:AA77"/>
    <mergeCell ref="X78:AA78"/>
    <mergeCell ref="A74:A76"/>
    <mergeCell ref="B74:B76"/>
    <mergeCell ref="C74:C76"/>
    <mergeCell ref="D74:G74"/>
    <mergeCell ref="H74:K74"/>
    <mergeCell ref="L74:O74"/>
    <mergeCell ref="P74:S74"/>
    <mergeCell ref="T74:W74"/>
    <mergeCell ref="X74:AA74"/>
    <mergeCell ref="A78:B78"/>
    <mergeCell ref="D78:G78"/>
    <mergeCell ref="H78:K78"/>
    <mergeCell ref="L78:O78"/>
    <mergeCell ref="P78:S78"/>
    <mergeCell ref="T78:W78"/>
    <mergeCell ref="A77:B77"/>
    <mergeCell ref="D77:G77"/>
    <mergeCell ref="H77:K77"/>
    <mergeCell ref="L77:O77"/>
    <mergeCell ref="P77:S77"/>
    <mergeCell ref="T77:W77"/>
    <mergeCell ref="AB74:AB76"/>
    <mergeCell ref="D75:G75"/>
    <mergeCell ref="H75:K75"/>
    <mergeCell ref="L75:O75"/>
    <mergeCell ref="P75:S75"/>
    <mergeCell ref="T75:W75"/>
    <mergeCell ref="X75:AA75"/>
    <mergeCell ref="D76:G76"/>
    <mergeCell ref="H76:K76"/>
    <mergeCell ref="L76:O76"/>
    <mergeCell ref="P76:S76"/>
    <mergeCell ref="T76:W76"/>
    <mergeCell ref="X76:AA76"/>
  </mergeCells>
  <printOptions horizontalCentered="1"/>
  <pageMargins left="0.11811023622047245" right="0.11811023622047245" top="0.27559055118110237" bottom="0.39370078740157483" header="0.19685039370078741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5</vt:i4>
      </vt:variant>
    </vt:vector>
  </HeadingPairs>
  <TitlesOfParts>
    <vt:vector size="9" baseType="lpstr">
      <vt:lpstr>ORÇAMENTO - CASA DE FORÇA</vt:lpstr>
      <vt:lpstr>Composição</vt:lpstr>
      <vt:lpstr>COMPOSIÇÕES DE CUSTO UNITÁRIO</vt:lpstr>
      <vt:lpstr>CRON. FÍS REPROGRAMAÇÃO</vt:lpstr>
      <vt:lpstr>Composição!Area_de_impressao</vt:lpstr>
      <vt:lpstr>'CRON. FÍS REPROGRAMAÇÃO'!Area_de_impressao</vt:lpstr>
      <vt:lpstr>'ORÇAMENTO - CASA DE FORÇA'!Area_de_impressao</vt:lpstr>
      <vt:lpstr>Composição!Titulos_de_impressao</vt:lpstr>
      <vt:lpstr>'ORÇAMENTO - CASA DE FORÇA'!Titulos_de_impressao</vt:lpstr>
    </vt:vector>
  </TitlesOfParts>
  <Company>Prefeitura Municipal de Tucurui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Jéssica Gaia</dc:creator>
  <cp:lastModifiedBy>bruno.leao</cp:lastModifiedBy>
  <cp:lastPrinted>2021-09-28T14:01:13Z</cp:lastPrinted>
  <dcterms:created xsi:type="dcterms:W3CDTF">2009-07-02T12:15:27Z</dcterms:created>
  <dcterms:modified xsi:type="dcterms:W3CDTF">2021-09-29T21:30:02Z</dcterms:modified>
</cp:coreProperties>
</file>